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5E3266C-80FF-4F3C-9F78-39ABE73D494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1" r:id="rId1"/>
    <sheet name="Short Summary" sheetId="4" r:id="rId2"/>
    <sheet name="Other Expenses" sheetId="3" r:id="rId3"/>
    <sheet name="Partners Expenses" sheetId="6" r:id="rId4"/>
    <sheet name="Mahima Statement" sheetId="5" r:id="rId5"/>
    <sheet name="Our Arrangements" sheetId="2" r:id="rId6"/>
  </sheets>
  <definedNames>
    <definedName name="_xlnm._FilterDatabase" localSheetId="4" hidden="1">'Mahima Statement'!$B$2:$H$64</definedName>
    <definedName name="_xlnm._FilterDatabase" localSheetId="3" hidden="1">'Partners Expenses'!$B$13:$I$50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6" l="1"/>
  <c r="J105" i="1"/>
  <c r="J100" i="1"/>
  <c r="J106" i="1"/>
  <c r="J103" i="1"/>
  <c r="J107" i="1"/>
  <c r="J104" i="1"/>
  <c r="J102" i="1"/>
  <c r="J101" i="1"/>
  <c r="H81" i="1"/>
  <c r="D111" i="6"/>
  <c r="E102" i="2"/>
  <c r="E104" i="2" l="1"/>
  <c r="F109" i="2"/>
  <c r="F107" i="2"/>
  <c r="F106" i="2"/>
  <c r="F108" i="2"/>
  <c r="F105" i="2"/>
  <c r="F104" i="2"/>
  <c r="F103" i="2"/>
  <c r="F102" i="2"/>
  <c r="E101" i="2"/>
  <c r="F101" i="2" s="1"/>
  <c r="F100" i="2"/>
  <c r="D112" i="2"/>
  <c r="D3" i="6"/>
  <c r="D6" i="6"/>
  <c r="D4" i="6"/>
  <c r="D7" i="6"/>
  <c r="D5" i="6"/>
  <c r="G50" i="6"/>
  <c r="F50" i="6"/>
  <c r="J94" i="1"/>
  <c r="J108" i="1"/>
  <c r="J99" i="1"/>
  <c r="E93" i="1"/>
  <c r="G79" i="1"/>
  <c r="H79" i="1" s="1"/>
  <c r="F83" i="1"/>
  <c r="H111" i="1" s="1"/>
  <c r="H80" i="1"/>
  <c r="H97" i="1"/>
  <c r="E97" i="1"/>
  <c r="J98" i="1"/>
  <c r="J96" i="1"/>
  <c r="J95" i="1"/>
  <c r="G32" i="1"/>
  <c r="H32" i="1" s="1"/>
  <c r="I197" i="1"/>
  <c r="H197" i="1"/>
  <c r="G197" i="1"/>
  <c r="F197" i="1"/>
  <c r="E197" i="1"/>
  <c r="J193" i="1"/>
  <c r="J192" i="1"/>
  <c r="J191" i="1"/>
  <c r="H70" i="1"/>
  <c r="J70" i="1" s="1"/>
  <c r="J69" i="1"/>
  <c r="H73" i="1"/>
  <c r="I73" i="1"/>
  <c r="G73" i="1"/>
  <c r="F73" i="1"/>
  <c r="E73" i="1"/>
  <c r="J97" i="1" l="1"/>
  <c r="I111" i="1"/>
  <c r="F111" i="1"/>
  <c r="F112" i="2"/>
  <c r="E112" i="2"/>
  <c r="D9" i="6"/>
  <c r="E111" i="1"/>
  <c r="G111" i="1"/>
  <c r="J197" i="1"/>
  <c r="J73" i="1"/>
  <c r="J68" i="1"/>
  <c r="J210" i="1"/>
  <c r="J211" i="1"/>
  <c r="J190" i="1"/>
  <c r="E41" i="2"/>
  <c r="E38" i="2"/>
  <c r="J67" i="1"/>
  <c r="J66" i="1"/>
  <c r="D81" i="2"/>
  <c r="D65" i="2"/>
  <c r="D62" i="2"/>
  <c r="D55" i="2"/>
  <c r="G64" i="5"/>
  <c r="F64" i="5"/>
  <c r="J209" i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J189" i="1"/>
  <c r="D414" i="1"/>
  <c r="D412" i="1"/>
  <c r="J208" i="1"/>
  <c r="J207" i="1"/>
  <c r="J206" i="1"/>
  <c r="E119" i="4"/>
  <c r="D120" i="4" s="1"/>
  <c r="D119" i="4"/>
  <c r="F65" i="5" l="1"/>
  <c r="D84" i="2"/>
  <c r="D93" i="2" s="1"/>
  <c r="D416" i="1"/>
  <c r="D121" i="4"/>
  <c r="D104" i="4" s="1"/>
  <c r="D105" i="4" s="1"/>
  <c r="F72" i="5" l="1"/>
  <c r="F69" i="5"/>
  <c r="J93" i="1"/>
  <c r="J92" i="1"/>
  <c r="J91" i="1"/>
  <c r="F70" i="5"/>
  <c r="J88" i="1"/>
  <c r="F71" i="5"/>
  <c r="F68" i="5"/>
  <c r="H3" i="5"/>
  <c r="H4" i="5" s="1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J204" i="1"/>
  <c r="J205" i="1"/>
  <c r="J89" i="1"/>
  <c r="K76" i="2"/>
  <c r="J76" i="2"/>
  <c r="J90" i="1"/>
  <c r="J188" i="1"/>
  <c r="J65" i="1"/>
  <c r="J183" i="1"/>
  <c r="G78" i="1" s="1"/>
  <c r="J60" i="1"/>
  <c r="J64" i="1"/>
  <c r="J187" i="1"/>
  <c r="J186" i="1"/>
  <c r="J63" i="1"/>
  <c r="E132" i="4"/>
  <c r="D132" i="4"/>
  <c r="G83" i="1" l="1"/>
  <c r="H78" i="1"/>
  <c r="H83" i="1" s="1"/>
  <c r="F74" i="5"/>
  <c r="G53" i="4"/>
  <c r="G68" i="4" s="1"/>
  <c r="G51" i="4"/>
  <c r="H61" i="4" s="1"/>
  <c r="G50" i="4"/>
  <c r="I77" i="4"/>
  <c r="I66" i="4"/>
  <c r="I59" i="4"/>
  <c r="I34" i="4"/>
  <c r="H25" i="4"/>
  <c r="G25" i="4"/>
  <c r="F25" i="4"/>
  <c r="E25" i="4"/>
  <c r="D25" i="4"/>
  <c r="I23" i="4"/>
  <c r="H18" i="4"/>
  <c r="G18" i="4"/>
  <c r="F18" i="4"/>
  <c r="E18" i="4"/>
  <c r="D18" i="4"/>
  <c r="I16" i="4"/>
  <c r="G9" i="4"/>
  <c r="G11" i="4" s="1"/>
  <c r="G344" i="1"/>
  <c r="H344" i="1" s="1"/>
  <c r="F347" i="1"/>
  <c r="N10" i="1"/>
  <c r="I254" i="1"/>
  <c r="H254" i="1"/>
  <c r="G254" i="1"/>
  <c r="F254" i="1"/>
  <c r="E254" i="1"/>
  <c r="I251" i="1"/>
  <c r="I255" i="1" s="1"/>
  <c r="H251" i="1"/>
  <c r="H255" i="1" s="1"/>
  <c r="G251" i="1"/>
  <c r="G255" i="1" s="1"/>
  <c r="F251" i="1"/>
  <c r="F255" i="1" s="1"/>
  <c r="E251" i="1"/>
  <c r="E255" i="1" s="1"/>
  <c r="J248" i="1"/>
  <c r="J247" i="1"/>
  <c r="J246" i="1"/>
  <c r="J245" i="1"/>
  <c r="J244" i="1"/>
  <c r="I229" i="1"/>
  <c r="H229" i="1"/>
  <c r="G229" i="1"/>
  <c r="F229" i="1"/>
  <c r="E229" i="1"/>
  <c r="I222" i="1"/>
  <c r="H222" i="1"/>
  <c r="G222" i="1"/>
  <c r="F222" i="1"/>
  <c r="E222" i="1"/>
  <c r="F163" i="1"/>
  <c r="I148" i="1"/>
  <c r="H148" i="1"/>
  <c r="G148" i="1"/>
  <c r="J111" i="1" s="1"/>
  <c r="F148" i="1"/>
  <c r="E148" i="1"/>
  <c r="I142" i="1"/>
  <c r="H142" i="1"/>
  <c r="G142" i="1"/>
  <c r="F142" i="1"/>
  <c r="E142" i="1"/>
  <c r="J185" i="1"/>
  <c r="J62" i="1"/>
  <c r="F34" i="1"/>
  <c r="E24" i="2"/>
  <c r="I215" i="1"/>
  <c r="I230" i="1" s="1"/>
  <c r="H70" i="4" s="1"/>
  <c r="H215" i="1"/>
  <c r="H230" i="1" s="1"/>
  <c r="G70" i="4" s="1"/>
  <c r="G215" i="1"/>
  <c r="G230" i="1" s="1"/>
  <c r="F215" i="1"/>
  <c r="F230" i="1" s="1"/>
  <c r="E215" i="1"/>
  <c r="E230" i="1" s="1"/>
  <c r="D70" i="4" s="1"/>
  <c r="J203" i="1"/>
  <c r="J215" i="1" s="1"/>
  <c r="J230" i="1" s="1"/>
  <c r="J184" i="1"/>
  <c r="I110" i="1"/>
  <c r="I112" i="1" s="1"/>
  <c r="I118" i="1" s="1"/>
  <c r="I137" i="1" s="1"/>
  <c r="H110" i="1"/>
  <c r="H112" i="1" s="1"/>
  <c r="H118" i="1" s="1"/>
  <c r="H137" i="1" s="1"/>
  <c r="G110" i="1"/>
  <c r="G112" i="1" s="1"/>
  <c r="G118" i="1" s="1"/>
  <c r="G137" i="1" s="1"/>
  <c r="F110" i="1"/>
  <c r="F112" i="1" s="1"/>
  <c r="F118" i="1" s="1"/>
  <c r="F137" i="1" s="1"/>
  <c r="J61" i="1"/>
  <c r="E21" i="2"/>
  <c r="J182" i="1"/>
  <c r="E110" i="1"/>
  <c r="E112" i="1" s="1"/>
  <c r="E118" i="1" s="1"/>
  <c r="E137" i="1" s="1"/>
  <c r="J59" i="1"/>
  <c r="J181" i="1"/>
  <c r="J58" i="1"/>
  <c r="J180" i="1"/>
  <c r="J57" i="1"/>
  <c r="F324" i="1"/>
  <c r="H324" i="1" s="1"/>
  <c r="F323" i="1"/>
  <c r="H323" i="1" s="1"/>
  <c r="F322" i="1"/>
  <c r="F321" i="1"/>
  <c r="H321" i="1" s="1"/>
  <c r="G326" i="1"/>
  <c r="G293" i="1"/>
  <c r="J56" i="1"/>
  <c r="J179" i="1"/>
  <c r="G149" i="1" l="1"/>
  <c r="G151" i="1" s="1"/>
  <c r="E149" i="1"/>
  <c r="E151" i="1" s="1"/>
  <c r="I149" i="1"/>
  <c r="I151" i="1" s="1"/>
  <c r="H149" i="1"/>
  <c r="H151" i="1" s="1"/>
  <c r="F149" i="1"/>
  <c r="F151" i="1" s="1"/>
  <c r="D61" i="4"/>
  <c r="G52" i="4"/>
  <c r="G54" i="4" s="1"/>
  <c r="D79" i="4" s="1"/>
  <c r="H68" i="4"/>
  <c r="H72" i="4" s="1"/>
  <c r="F232" i="1"/>
  <c r="G232" i="1"/>
  <c r="F70" i="4"/>
  <c r="D27" i="4"/>
  <c r="E27" i="4"/>
  <c r="E29" i="4" s="1"/>
  <c r="E70" i="4"/>
  <c r="F27" i="4"/>
  <c r="F29" i="4" s="1"/>
  <c r="G27" i="4"/>
  <c r="G29" i="4" s="1"/>
  <c r="H27" i="4"/>
  <c r="H29" i="4" s="1"/>
  <c r="G72" i="4"/>
  <c r="D68" i="4"/>
  <c r="D72" i="4" s="1"/>
  <c r="E68" i="4"/>
  <c r="F68" i="4"/>
  <c r="E61" i="4"/>
  <c r="F61" i="4"/>
  <c r="G61" i="4"/>
  <c r="H36" i="4"/>
  <c r="G36" i="4"/>
  <c r="F36" i="4"/>
  <c r="E36" i="4"/>
  <c r="D36" i="4"/>
  <c r="I18" i="4"/>
  <c r="I25" i="4"/>
  <c r="F257" i="1"/>
  <c r="G257" i="1"/>
  <c r="I257" i="1"/>
  <c r="E257" i="1"/>
  <c r="H257" i="1"/>
  <c r="J251" i="1"/>
  <c r="G345" i="1" s="1"/>
  <c r="H345" i="1" s="1"/>
  <c r="H347" i="1" s="1"/>
  <c r="J254" i="1"/>
  <c r="G160" i="1"/>
  <c r="H160" i="1" s="1"/>
  <c r="H232" i="1"/>
  <c r="J229" i="1"/>
  <c r="J232" i="1" s="1"/>
  <c r="I232" i="1"/>
  <c r="E232" i="1"/>
  <c r="J148" i="1"/>
  <c r="F326" i="1"/>
  <c r="H322" i="1"/>
  <c r="H326" i="1" s="1"/>
  <c r="F296" i="1"/>
  <c r="F295" i="1"/>
  <c r="F293" i="1"/>
  <c r="G295" i="1"/>
  <c r="G309" i="1"/>
  <c r="J87" i="1"/>
  <c r="J110" i="1" s="1"/>
  <c r="J112" i="1" s="1"/>
  <c r="J55" i="1"/>
  <c r="J178" i="1"/>
  <c r="J149" i="1" l="1"/>
  <c r="J151" i="1" s="1"/>
  <c r="G30" i="1"/>
  <c r="H30" i="1" s="1"/>
  <c r="E79" i="4"/>
  <c r="F79" i="4"/>
  <c r="G79" i="4"/>
  <c r="H79" i="4"/>
  <c r="E72" i="4"/>
  <c r="F72" i="4"/>
  <c r="I70" i="4"/>
  <c r="I27" i="4"/>
  <c r="I29" i="4" s="1"/>
  <c r="G347" i="1"/>
  <c r="D29" i="4"/>
  <c r="I68" i="4"/>
  <c r="I61" i="4"/>
  <c r="I36" i="4"/>
  <c r="J255" i="1"/>
  <c r="J257" i="1" s="1"/>
  <c r="J142" i="1"/>
  <c r="H295" i="1"/>
  <c r="J177" i="1"/>
  <c r="J54" i="1"/>
  <c r="I79" i="4" l="1"/>
  <c r="I72" i="4"/>
  <c r="F303" i="1"/>
  <c r="F310" i="1"/>
  <c r="F309" i="1"/>
  <c r="H309" i="1" s="1"/>
  <c r="G313" i="1"/>
  <c r="E313" i="1"/>
  <c r="F313" i="1" l="1"/>
  <c r="H310" i="1"/>
  <c r="H313" i="1" s="1"/>
  <c r="H293" i="1"/>
  <c r="G298" i="1"/>
  <c r="F294" i="1"/>
  <c r="H294" i="1" s="1"/>
  <c r="F292" i="1"/>
  <c r="H292" i="1" s="1"/>
  <c r="H298" i="1" l="1"/>
  <c r="F298" i="1"/>
  <c r="I196" i="1"/>
  <c r="I198" i="1" s="1"/>
  <c r="H196" i="1"/>
  <c r="H198" i="1" s="1"/>
  <c r="G196" i="1"/>
  <c r="G198" i="1" s="1"/>
  <c r="F196" i="1"/>
  <c r="F198" i="1" s="1"/>
  <c r="E196" i="1"/>
  <c r="E198" i="1" s="1"/>
  <c r="J176" i="1"/>
  <c r="J175" i="1"/>
  <c r="J174" i="1"/>
  <c r="J173" i="1"/>
  <c r="J172" i="1"/>
  <c r="J171" i="1"/>
  <c r="J170" i="1"/>
  <c r="J169" i="1"/>
  <c r="J168" i="1"/>
  <c r="I72" i="1"/>
  <c r="J53" i="1"/>
  <c r="J52" i="1"/>
  <c r="J51" i="1"/>
  <c r="J50" i="1"/>
  <c r="J49" i="1"/>
  <c r="J48" i="1"/>
  <c r="J47" i="1"/>
  <c r="J46" i="1"/>
  <c r="J45" i="1"/>
  <c r="H38" i="4" l="1"/>
  <c r="H40" i="4" s="1"/>
  <c r="H42" i="4" s="1"/>
  <c r="I74" i="1"/>
  <c r="E217" i="1"/>
  <c r="E223" i="1"/>
  <c r="D81" i="4" s="1"/>
  <c r="D83" i="4" s="1"/>
  <c r="F217" i="1"/>
  <c r="F223" i="1"/>
  <c r="E81" i="4" s="1"/>
  <c r="E83" i="4" s="1"/>
  <c r="E85" i="4" s="1"/>
  <c r="G217" i="1"/>
  <c r="G223" i="1"/>
  <c r="F81" i="4" s="1"/>
  <c r="H217" i="1"/>
  <c r="H223" i="1"/>
  <c r="G81" i="4" s="1"/>
  <c r="G83" i="4" s="1"/>
  <c r="I217" i="1"/>
  <c r="I223" i="1"/>
  <c r="H81" i="4" s="1"/>
  <c r="H83" i="4" s="1"/>
  <c r="H85" i="4" s="1"/>
  <c r="I143" i="1"/>
  <c r="I145" i="1" s="1"/>
  <c r="I153" i="1" s="1"/>
  <c r="J196" i="1"/>
  <c r="J198" i="1" s="1"/>
  <c r="E19" i="2"/>
  <c r="D85" i="4" l="1"/>
  <c r="G85" i="4"/>
  <c r="I81" i="4"/>
  <c r="I83" i="4" s="1"/>
  <c r="I85" i="4" s="1"/>
  <c r="F83" i="4"/>
  <c r="J223" i="1"/>
  <c r="G161" i="1"/>
  <c r="J238" i="1"/>
  <c r="J217" i="1"/>
  <c r="H238" i="1"/>
  <c r="G238" i="1"/>
  <c r="F238" i="1"/>
  <c r="E238" i="1"/>
  <c r="I238" i="1"/>
  <c r="E19" i="3"/>
  <c r="F19" i="3"/>
  <c r="E20" i="3" l="1"/>
  <c r="F85" i="4"/>
  <c r="H161" i="1"/>
  <c r="H163" i="1" s="1"/>
  <c r="G163" i="1"/>
  <c r="K47" i="2"/>
  <c r="J47" i="2"/>
  <c r="F16" i="2"/>
  <c r="H72" i="1" l="1"/>
  <c r="F27" i="1"/>
  <c r="G38" i="4" l="1"/>
  <c r="G40" i="4" s="1"/>
  <c r="G42" i="4" s="1"/>
  <c r="H74" i="1"/>
  <c r="H143" i="1"/>
  <c r="H145" i="1" s="1"/>
  <c r="H153" i="1" s="1"/>
  <c r="G72" i="1"/>
  <c r="F72" i="1"/>
  <c r="E72" i="1"/>
  <c r="F38" i="4" l="1"/>
  <c r="F40" i="4" s="1"/>
  <c r="F42" i="4" s="1"/>
  <c r="G74" i="1"/>
  <c r="E38" i="4"/>
  <c r="E40" i="4" s="1"/>
  <c r="E42" i="4" s="1"/>
  <c r="F74" i="1"/>
  <c r="D38" i="4"/>
  <c r="D40" i="4" s="1"/>
  <c r="D42" i="4" s="1"/>
  <c r="E74" i="1"/>
  <c r="E143" i="1"/>
  <c r="E145" i="1" s="1"/>
  <c r="E153" i="1" s="1"/>
  <c r="F143" i="1"/>
  <c r="F145" i="1" s="1"/>
  <c r="F153" i="1" s="1"/>
  <c r="G143" i="1"/>
  <c r="G145" i="1" s="1"/>
  <c r="G153" i="1" s="1"/>
  <c r="J72" i="1"/>
  <c r="G31" i="1" l="1"/>
  <c r="H31" i="1" s="1"/>
  <c r="H34" i="1" s="1"/>
  <c r="J74" i="1"/>
  <c r="I38" i="4"/>
  <c r="I40" i="4" s="1"/>
  <c r="I42" i="4" s="1"/>
  <c r="J143" i="1"/>
  <c r="J145" i="1" s="1"/>
  <c r="J153" i="1" s="1"/>
  <c r="J155" i="1"/>
  <c r="I155" i="1"/>
  <c r="H155" i="1"/>
  <c r="G155" i="1"/>
  <c r="F155" i="1"/>
  <c r="E155" i="1"/>
  <c r="G34" i="1" l="1"/>
  <c r="I225" i="1"/>
  <c r="I234" i="1" s="1"/>
  <c r="H225" i="1"/>
  <c r="H234" i="1" s="1"/>
  <c r="G225" i="1"/>
  <c r="G234" i="1" s="1"/>
  <c r="F225" i="1"/>
  <c r="F234" i="1" s="1"/>
  <c r="J222" i="1" l="1"/>
  <c r="J225" i="1" s="1"/>
  <c r="J234" i="1" s="1"/>
  <c r="E225" i="1"/>
  <c r="E234" i="1" s="1"/>
  <c r="E2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7" authorId="0" shapeId="0" xr:uid="{94125389-CE0A-47B1-BF71-2F313DBCD9F1}">
      <text>
        <r>
          <rPr>
            <b/>
            <sz val="9"/>
            <color indexed="81"/>
            <rFont val="Tahoma"/>
            <family val="2"/>
          </rPr>
          <t>By RL A/c</t>
        </r>
      </text>
    </comment>
  </commentList>
</comments>
</file>

<file path=xl/sharedStrings.xml><?xml version="1.0" encoding="utf-8"?>
<sst xmlns="http://schemas.openxmlformats.org/spreadsheetml/2006/main" count="1201" uniqueCount="359">
  <si>
    <t>Kishore Ji</t>
  </si>
  <si>
    <t>Date</t>
  </si>
  <si>
    <t>24.04.2025</t>
  </si>
  <si>
    <t>Total</t>
  </si>
  <si>
    <t>12.05.2025</t>
  </si>
  <si>
    <t>Paid Amount</t>
  </si>
  <si>
    <t>21.04.2025</t>
  </si>
  <si>
    <t>Narration</t>
  </si>
  <si>
    <t>Om Ji</t>
  </si>
  <si>
    <t>19.05.2025</t>
  </si>
  <si>
    <t>23.05.2025</t>
  </si>
  <si>
    <t>30.05.2025</t>
  </si>
  <si>
    <t>31.05.2025</t>
  </si>
  <si>
    <t>Pradeep Khichar</t>
  </si>
  <si>
    <t>Balveer Rar Balance (ByPradeep Khichar)</t>
  </si>
  <si>
    <t>Received From</t>
  </si>
  <si>
    <t>Receipt Amount</t>
  </si>
  <si>
    <t>TRF</t>
  </si>
  <si>
    <t>Village</t>
  </si>
  <si>
    <t>Dharma Ram Ji Dukiya</t>
  </si>
  <si>
    <t>BL Ji</t>
  </si>
  <si>
    <t>Mahipal Ji</t>
  </si>
  <si>
    <t>TRF - Naresh Ji</t>
  </si>
  <si>
    <t>TRF - Pawan</t>
  </si>
  <si>
    <t>Return to Mahipal Ji</t>
  </si>
  <si>
    <t>Particulars</t>
  </si>
  <si>
    <t>Debit</t>
  </si>
  <si>
    <t>Credit</t>
  </si>
  <si>
    <t>19.07.2025</t>
  </si>
  <si>
    <t>Dharmaram Ji Dukiya</t>
  </si>
  <si>
    <t>Given to Architect</t>
  </si>
  <si>
    <t>Credit Received</t>
  </si>
  <si>
    <t xml:space="preserve">Paid to Architect for Mansarovar Property </t>
  </si>
  <si>
    <t>29.07.2025</t>
  </si>
  <si>
    <t>31.07.2025</t>
  </si>
  <si>
    <t>Village (Sharwan Ji Sevda)</t>
  </si>
  <si>
    <t xml:space="preserve">Rajesh Ji </t>
  </si>
  <si>
    <t>Mahima</t>
  </si>
  <si>
    <t>02.08.2025</t>
  </si>
  <si>
    <t>Paid % upto Payments Till Date</t>
  </si>
  <si>
    <t>KG</t>
  </si>
  <si>
    <t>RL</t>
  </si>
  <si>
    <t>OP</t>
  </si>
  <si>
    <t>RD</t>
  </si>
  <si>
    <t>M</t>
  </si>
  <si>
    <t>KG &amp; OP</t>
  </si>
  <si>
    <t>% Share</t>
  </si>
  <si>
    <t>Share Amount</t>
  </si>
  <si>
    <t>Balance Amount</t>
  </si>
  <si>
    <t>Calculation</t>
  </si>
  <si>
    <r>
      <t xml:space="preserve">Land </t>
    </r>
    <r>
      <rPr>
        <b/>
        <sz val="11"/>
        <color theme="1"/>
        <rFont val="Calibri"/>
        <family val="2"/>
        <scheme val="minor"/>
      </rPr>
      <t>(2021)</t>
    </r>
  </si>
  <si>
    <r>
      <t xml:space="preserve">Architect </t>
    </r>
    <r>
      <rPr>
        <b/>
        <sz val="11"/>
        <color theme="1"/>
        <rFont val="Calibri"/>
        <family val="2"/>
        <scheme val="minor"/>
      </rPr>
      <t>(12)</t>
    </r>
  </si>
  <si>
    <t>Total Land Amount</t>
  </si>
  <si>
    <t>Total Architect Amount</t>
  </si>
  <si>
    <t>Total Amount</t>
  </si>
  <si>
    <t>Mode</t>
  </si>
  <si>
    <t>C</t>
  </si>
  <si>
    <t>04.08.2025</t>
  </si>
  <si>
    <t>Payment Details</t>
  </si>
  <si>
    <t>05.08.2025</t>
  </si>
  <si>
    <t>B</t>
  </si>
  <si>
    <t>C Receipt Details</t>
  </si>
  <si>
    <t>M (Architect)</t>
  </si>
  <si>
    <t>Ramchandra Agarwal - Ch. No. - 011275</t>
  </si>
  <si>
    <t>Ruchika Agrawal - Ch. No. - 011277</t>
  </si>
  <si>
    <t>Manish Agarwal - Ch. No. - 011276</t>
  </si>
  <si>
    <t>07.08.2025</t>
  </si>
  <si>
    <t>Architect Calculation</t>
  </si>
  <si>
    <t>Amount</t>
  </si>
  <si>
    <t>Total - 1.16 Lacs with Us</t>
  </si>
  <si>
    <t>.88 Lacs in Cash (RL)</t>
  </si>
  <si>
    <t>03.12.2025</t>
  </si>
  <si>
    <t>04.12.2025</t>
  </si>
  <si>
    <t>Mahboob Khan(Broker)</t>
  </si>
  <si>
    <t>Paid for Brokerage by Us.</t>
  </si>
  <si>
    <t>09.12.2025</t>
  </si>
  <si>
    <t>17.12.2025</t>
  </si>
  <si>
    <t xml:space="preserve">TRF - Pawan </t>
  </si>
  <si>
    <t>TRF in A/c</t>
  </si>
  <si>
    <t>20.12.2025</t>
  </si>
  <si>
    <t>Gross (C + B)</t>
  </si>
  <si>
    <t>TRF - Parties</t>
  </si>
  <si>
    <t>Paid</t>
  </si>
  <si>
    <t>Balance</t>
  </si>
  <si>
    <t>Payable - A</t>
  </si>
  <si>
    <t>Payable - B</t>
  </si>
  <si>
    <t>Closing Balance</t>
  </si>
  <si>
    <t>Credit Returned</t>
  </si>
  <si>
    <t>22.12.2025</t>
  </si>
  <si>
    <t>Paid upto Date</t>
  </si>
  <si>
    <t>Total Payble ( B )</t>
  </si>
  <si>
    <t>Part - B</t>
  </si>
  <si>
    <t>Part - A</t>
  </si>
  <si>
    <t>Balance Payble</t>
  </si>
  <si>
    <t>Gross Payble (A + B)</t>
  </si>
  <si>
    <t>Total Payble ( A )</t>
  </si>
  <si>
    <t xml:space="preserve">Total Payble </t>
  </si>
  <si>
    <t>Payment Details (As per 6100)</t>
  </si>
  <si>
    <t>Chq. No.</t>
  </si>
  <si>
    <t>Name</t>
  </si>
  <si>
    <t>Ramchandra Agarwal</t>
  </si>
  <si>
    <t>Ruchika Agrawal</t>
  </si>
  <si>
    <t xml:space="preserve">Manish Agarwal </t>
  </si>
  <si>
    <t>BY Rameshwar Sir A/c</t>
  </si>
  <si>
    <t>PDC</t>
  </si>
  <si>
    <t>PAYBLE UPTO 31.12.25</t>
  </si>
  <si>
    <t>Share %</t>
  </si>
  <si>
    <t>PDC Amount</t>
  </si>
  <si>
    <t>PDC Calculation for 26.50 CR</t>
  </si>
  <si>
    <t>By BANK</t>
  </si>
  <si>
    <t>RTGS Calculation for 14.50 CR</t>
  </si>
  <si>
    <t>By CASH</t>
  </si>
  <si>
    <t>Part-B Calculation for 60.31 CR</t>
  </si>
  <si>
    <t>Total Payble</t>
  </si>
  <si>
    <t>DEAL AMOUNT</t>
  </si>
  <si>
    <t>Available - C</t>
  </si>
  <si>
    <t>29.12.25 - C</t>
  </si>
  <si>
    <t>29.12.25 - RXIL</t>
  </si>
  <si>
    <t>Available -RXIL</t>
  </si>
  <si>
    <t>Kotak - WCDL</t>
  </si>
  <si>
    <t>30.12.25 - RXIL</t>
  </si>
  <si>
    <t xml:space="preserve">To Be </t>
  </si>
  <si>
    <t>For Tax</t>
  </si>
  <si>
    <t>29.12.2025</t>
  </si>
  <si>
    <t>31.12.2025</t>
  </si>
  <si>
    <t>Total Payble (A+B)</t>
  </si>
  <si>
    <t>By Mahipal Ji</t>
  </si>
  <si>
    <t>Received from Pradeep Ji Khichar</t>
  </si>
  <si>
    <t>TRF on 27.12.2025</t>
  </si>
  <si>
    <t>TRF on 29.12.2025</t>
  </si>
  <si>
    <t>TRF on 30.12.2025</t>
  </si>
  <si>
    <t>NS Choudhary - Steel Bill</t>
  </si>
  <si>
    <t>25.12.2025</t>
  </si>
  <si>
    <t>Balaji Borewell (Transfer on 24.12.25)</t>
  </si>
  <si>
    <t>Scorpio Sale</t>
  </si>
  <si>
    <t>Amit Ji Bank Entry</t>
  </si>
  <si>
    <t>BR Bhukar (Credit Return)</t>
  </si>
  <si>
    <t>07.01.2026</t>
  </si>
  <si>
    <t>Ramchandra Agrawal</t>
  </si>
  <si>
    <t>Mahima Buildstate LLP</t>
  </si>
  <si>
    <t>BRN Infrastructures Pvt. Ltd.</t>
  </si>
  <si>
    <t>15.01.2026</t>
  </si>
  <si>
    <t>Bank Entries (RL A/c)</t>
  </si>
  <si>
    <t>Kishore Kumar</t>
  </si>
  <si>
    <t>Nikhil Madan</t>
  </si>
  <si>
    <t>Bhanwar Lal</t>
  </si>
  <si>
    <t>16.01.2026</t>
  </si>
  <si>
    <t>13.01.2026</t>
  </si>
  <si>
    <t>14.01.2026</t>
  </si>
  <si>
    <t>Manish Agarwal</t>
  </si>
  <si>
    <t>17.01.2026</t>
  </si>
  <si>
    <t>10.01.2026</t>
  </si>
  <si>
    <t>3 Accounts</t>
  </si>
  <si>
    <t>Kamal Ola (By MSBL)</t>
  </si>
  <si>
    <t>24.12.2025</t>
  </si>
  <si>
    <t>Kishore Kumar (By RL A/c)</t>
  </si>
  <si>
    <t>19.01.2026</t>
  </si>
  <si>
    <t>20.01.2026</t>
  </si>
  <si>
    <t>PARTICULARS</t>
  </si>
  <si>
    <t>MAHIMA REAL ESTATE PVT. LTD.</t>
  </si>
  <si>
    <t>MAHIPAL DUKIYA</t>
  </si>
  <si>
    <t>RAJKUMAR SHARMA</t>
  </si>
  <si>
    <t>RAM CHANDRA AGARWAL</t>
  </si>
  <si>
    <t>RUCHIKA AGRAWAL</t>
  </si>
  <si>
    <t>MANISH AGARWAL</t>
  </si>
  <si>
    <t>VEDANTA LAW CHAMBERS</t>
  </si>
  <si>
    <t>RAMESHWAR LAL</t>
  </si>
  <si>
    <t>OM PRAKASH</t>
  </si>
  <si>
    <t xml:space="preserve">Cheque no </t>
  </si>
  <si>
    <t>Sl No</t>
  </si>
  <si>
    <t>Transaction Date</t>
  </si>
  <si>
    <t>Withdra wal (Dr)</t>
  </si>
  <si>
    <t>Deposit (Cr)</t>
  </si>
  <si>
    <t xml:space="preserve">Mahima Real Estate </t>
  </si>
  <si>
    <t>Mahipal Dukiya</t>
  </si>
  <si>
    <t>Rameshwar Lal</t>
  </si>
  <si>
    <t>Om Prakash</t>
  </si>
  <si>
    <t>01.01.2026</t>
  </si>
  <si>
    <t>09.01.2026</t>
  </si>
  <si>
    <t>MAHIPAL DUKIYA (Kishore Ji Part)</t>
  </si>
  <si>
    <t>Our Share</t>
  </si>
  <si>
    <t>Payment</t>
  </si>
  <si>
    <t>Receipt</t>
  </si>
  <si>
    <t>Ram Chandra Agarwal</t>
  </si>
  <si>
    <t>Ruchika Agarwal</t>
  </si>
  <si>
    <t>Nikhil Madan (For Mahima)</t>
  </si>
  <si>
    <t>Total Payments</t>
  </si>
  <si>
    <t>Total Receipts</t>
  </si>
  <si>
    <t>Paid by Us</t>
  </si>
  <si>
    <t xml:space="preserve">Payable </t>
  </si>
  <si>
    <t>RIYANSHI AGRAWAL</t>
  </si>
  <si>
    <t>SIDDHI AGARWAL</t>
  </si>
  <si>
    <t>TRF Hisab After 11.12.2025</t>
  </si>
  <si>
    <t>Place</t>
  </si>
  <si>
    <t>13.12.2025</t>
  </si>
  <si>
    <t>Jaipur Received</t>
  </si>
  <si>
    <t>Jaipur</t>
  </si>
  <si>
    <t>Silchar to Jaipur Charges</t>
  </si>
  <si>
    <t>11.12.2025</t>
  </si>
  <si>
    <t>Bhuvneshwar</t>
  </si>
  <si>
    <t>16.12.2025</t>
  </si>
  <si>
    <t>Bhuvneshwar Charges</t>
  </si>
  <si>
    <t>Aizawl</t>
  </si>
  <si>
    <t>Aizawl Charges</t>
  </si>
  <si>
    <t>Lunglei Site</t>
  </si>
  <si>
    <t>Lunglei</t>
  </si>
  <si>
    <t>Lucknow for Lunglei (By Mukesh Ji)</t>
  </si>
  <si>
    <t>Lucknow</t>
  </si>
  <si>
    <t>Lucknow Charges</t>
  </si>
  <si>
    <t>19.12.2025</t>
  </si>
  <si>
    <t>Guwahati for Shillong Site</t>
  </si>
  <si>
    <t>Guwahati</t>
  </si>
  <si>
    <t>Guwahati Charges</t>
  </si>
  <si>
    <t>Manglore</t>
  </si>
  <si>
    <t>Manglore Charges</t>
  </si>
  <si>
    <t>23.12.2025</t>
  </si>
  <si>
    <t>Shillong</t>
  </si>
  <si>
    <t>Shillong Charges</t>
  </si>
  <si>
    <t>Add. Charges for Credit - 100 Per Day/Lacs</t>
  </si>
  <si>
    <t>Aurangabad</t>
  </si>
  <si>
    <t>Aurangabad Charges</t>
  </si>
  <si>
    <t>Jabalpur</t>
  </si>
  <si>
    <t>Jabalpur Charges</t>
  </si>
  <si>
    <t>26.12.2025</t>
  </si>
  <si>
    <t>27.12.2025</t>
  </si>
  <si>
    <t>Dehradun</t>
  </si>
  <si>
    <t>Dehradun Charges</t>
  </si>
  <si>
    <t>02.01.2026</t>
  </si>
  <si>
    <t>Beed</t>
  </si>
  <si>
    <t>Beed Charges</t>
  </si>
  <si>
    <t>06.01.2026</t>
  </si>
  <si>
    <t>Less :</t>
  </si>
  <si>
    <t>Received from Delhi on 17.12.25</t>
  </si>
  <si>
    <t>Delhi to Jaipur Charges</t>
  </si>
  <si>
    <t>Received on 25.12.2025</t>
  </si>
  <si>
    <t>Received on 26.12.2025</t>
  </si>
  <si>
    <t>Received on 07.01.2026</t>
  </si>
  <si>
    <t>Received on 09.01.2026</t>
  </si>
  <si>
    <t>22.01.2026</t>
  </si>
  <si>
    <t>20.01.2025</t>
  </si>
  <si>
    <t>Balaji Borewell</t>
  </si>
  <si>
    <t>Manoj Khichar</t>
  </si>
  <si>
    <t>BL Ji - Personal</t>
  </si>
  <si>
    <t>22.01.2025</t>
  </si>
  <si>
    <t>TRF - Jaipur</t>
  </si>
  <si>
    <t>21.01.2026</t>
  </si>
  <si>
    <t>27.01.2026</t>
  </si>
  <si>
    <t>28.01.2026</t>
  </si>
  <si>
    <t>STOCK HOLDING CORPORATION OF INDIA LTD.</t>
  </si>
  <si>
    <t>TDS - RAMCHANDRA AGARWAL</t>
  </si>
  <si>
    <t>TDS - MANISH AGARWAL</t>
  </si>
  <si>
    <t>TDS - RUCHIKA AGARWAL &amp; SIDDHI AGARWAL</t>
  </si>
  <si>
    <t>TDS - RIYANSHI AGRAWAL</t>
  </si>
  <si>
    <t>TOTAL PAYBLE</t>
  </si>
  <si>
    <t>BALANCE</t>
  </si>
  <si>
    <t>29.01.2026</t>
  </si>
  <si>
    <t>BROKERAGE</t>
  </si>
  <si>
    <t>Direct Given to Broker</t>
  </si>
  <si>
    <t>Details</t>
  </si>
  <si>
    <t>Balance with MD - 4.50 Lacs</t>
  </si>
  <si>
    <t>Registry</t>
  </si>
  <si>
    <t>TDS</t>
  </si>
  <si>
    <t>Adjustment</t>
  </si>
  <si>
    <t>31.01.2026</t>
  </si>
  <si>
    <t>04.11.2025</t>
  </si>
  <si>
    <t>Net Investments</t>
  </si>
  <si>
    <t>MSBL - Yes A/c</t>
  </si>
  <si>
    <t>Cash</t>
  </si>
  <si>
    <t>Paid for Consultants</t>
  </si>
  <si>
    <t>Construction Expenses Summary</t>
  </si>
  <si>
    <t>Bank</t>
  </si>
  <si>
    <t>MA Architects</t>
  </si>
  <si>
    <t>Paid to Architect from Siddhi Homes Realty</t>
  </si>
  <si>
    <t>Om Prakash Paraswal</t>
  </si>
  <si>
    <t>Siddhi Homes Reality</t>
  </si>
  <si>
    <t>Firm Name</t>
  </si>
  <si>
    <t>Envision Heights</t>
  </si>
  <si>
    <t>Mahipal Dukiya A/c</t>
  </si>
  <si>
    <t>Bhanwar Lal - Yes A/c</t>
  </si>
  <si>
    <t>Shree Shyam Enterprises</t>
  </si>
  <si>
    <t>Mahima Real Estate</t>
  </si>
  <si>
    <t>S Bose A/c</t>
  </si>
  <si>
    <t>C2C Consulatant</t>
  </si>
  <si>
    <t xml:space="preserve">Mahipal Dukiya </t>
  </si>
  <si>
    <t>Studio IAAD</t>
  </si>
  <si>
    <t>03.06.2025</t>
  </si>
  <si>
    <t>Given for Land Survey</t>
  </si>
  <si>
    <t>01.11.2025</t>
  </si>
  <si>
    <t>Mahboob Khan</t>
  </si>
  <si>
    <t>Given for Brokerage</t>
  </si>
  <si>
    <t>06.11.2025</t>
  </si>
  <si>
    <t>20.11.2025</t>
  </si>
  <si>
    <t>JCB Rent Expenses</t>
  </si>
  <si>
    <t>Given for 2 Plot Rent</t>
  </si>
  <si>
    <t>Given for Plot Rent - Sep-25</t>
  </si>
  <si>
    <t>Given for Plot Rent - Oct-25</t>
  </si>
  <si>
    <t>Given for Plot Rent - Nov-25</t>
  </si>
  <si>
    <t>05.01.2026</t>
  </si>
  <si>
    <t>Given for Plot Rent - Dec-25</t>
  </si>
  <si>
    <t>Given for 2nd Plot Rent - Dec-25</t>
  </si>
  <si>
    <t>Pole Removal Expenses</t>
  </si>
  <si>
    <t>Summary</t>
  </si>
  <si>
    <t>Receiver A/c</t>
  </si>
  <si>
    <t>Siddhi Homes - C</t>
  </si>
  <si>
    <t>Received from Brokerage A/c</t>
  </si>
  <si>
    <t>Pradeep Ji Khichar</t>
  </si>
  <si>
    <t>Return</t>
  </si>
  <si>
    <t>Krishna Home Developers</t>
  </si>
  <si>
    <t>Bhuman Industries</t>
  </si>
  <si>
    <t>Jor Singh Meratiya</t>
  </si>
  <si>
    <t>Bhanwar Kanwar W/o Jor Singh</t>
  </si>
  <si>
    <t>BL Ji - Entry</t>
  </si>
  <si>
    <t>A</t>
  </si>
  <si>
    <t>Bank Receipts Details for 14.50 CR</t>
  </si>
  <si>
    <t>Payable - PDC Cheque</t>
  </si>
  <si>
    <t>25.02.2026</t>
  </si>
  <si>
    <t>26.02.2026</t>
  </si>
  <si>
    <t>02.03.2026</t>
  </si>
  <si>
    <t>12.03.2026</t>
  </si>
  <si>
    <t>27.02.2026</t>
  </si>
  <si>
    <t>06.03.2026</t>
  </si>
  <si>
    <t>20.02.2026</t>
  </si>
  <si>
    <t>05.03.2026</t>
  </si>
  <si>
    <t>Opening Balance</t>
  </si>
  <si>
    <t>21.04.2026</t>
  </si>
  <si>
    <t>Amount Received for Construction Payments</t>
  </si>
  <si>
    <t>27.04.2026</t>
  </si>
  <si>
    <t>05.05.2026</t>
  </si>
  <si>
    <t>17.03.2026</t>
  </si>
  <si>
    <t>20.03.2026</t>
  </si>
  <si>
    <t>09.04.2026</t>
  </si>
  <si>
    <t>29.04.2026</t>
  </si>
  <si>
    <t>06.05.2026</t>
  </si>
  <si>
    <t>25.05.2026</t>
  </si>
  <si>
    <t>02.04.2026</t>
  </si>
  <si>
    <t>07.05.2026</t>
  </si>
  <si>
    <t>TOTAL</t>
  </si>
  <si>
    <t>Extra Paid</t>
  </si>
  <si>
    <t>Given for Plot Rent - Jan-26</t>
  </si>
  <si>
    <t>Paid for PT Survey</t>
  </si>
  <si>
    <t>14.03.2026</t>
  </si>
  <si>
    <t>Given for Plot Rent - Feb-26</t>
  </si>
  <si>
    <t>Sanitary Parts for Labour Room</t>
  </si>
  <si>
    <t>10.04.2026</t>
  </si>
  <si>
    <t>Misc. Expenses</t>
  </si>
  <si>
    <t>Given in JDA</t>
  </si>
  <si>
    <t>Forest NOC - Jamwaramgarh</t>
  </si>
  <si>
    <t>Airoirt NOC Survey</t>
  </si>
  <si>
    <t>Stamp - Bank</t>
  </si>
  <si>
    <t>Forest NOC - SRO - Nahargarh</t>
  </si>
  <si>
    <t>EC File - Sec to DA</t>
  </si>
  <si>
    <t>Name Transfer DA Meena Ji</t>
  </si>
  <si>
    <t>Name Transfer TDR</t>
  </si>
  <si>
    <t>Name Transfer AAO</t>
  </si>
  <si>
    <t>Name Transfer AP</t>
  </si>
  <si>
    <t>Name Transfer COM OPT</t>
  </si>
  <si>
    <t>Green File Building Plan Stamp</t>
  </si>
  <si>
    <t>Electric Connection</t>
  </si>
  <si>
    <t>Bank Receipt Details as on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</si>
</sst>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dd/m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7"/>
      <color rgb="FF000000"/>
      <name val="Cambria"/>
      <family val="1"/>
      <scheme val="major"/>
    </font>
    <font>
      <sz val="7"/>
      <name val="Cambria"/>
      <family val="1"/>
      <scheme val="maj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4F4F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18" xfId="0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4" fillId="0" borderId="3" xfId="0" applyFont="1" applyBorder="1"/>
    <xf numFmtId="0" fontId="4" fillId="0" borderId="1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1" xfId="0" applyFont="1" applyBorder="1"/>
    <xf numFmtId="0" fontId="1" fillId="0" borderId="32" xfId="0" applyFont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9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0" fillId="0" borderId="18" xfId="0" applyBorder="1"/>
    <xf numFmtId="0" fontId="1" fillId="0" borderId="6" xfId="0" applyFont="1" applyBorder="1"/>
    <xf numFmtId="0" fontId="1" fillId="0" borderId="7" xfId="0" applyFont="1" applyBorder="1"/>
    <xf numFmtId="0" fontId="1" fillId="0" borderId="17" xfId="0" applyFont="1" applyBorder="1"/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1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40" xfId="0" applyFont="1" applyBorder="1" applyAlignment="1">
      <alignment vertic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" fillId="0" borderId="40" xfId="0" applyFont="1" applyBorder="1"/>
    <xf numFmtId="0" fontId="4" fillId="0" borderId="0" xfId="0" applyFont="1"/>
    <xf numFmtId="0" fontId="5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0" xfId="0" applyFont="1"/>
    <xf numFmtId="164" fontId="7" fillId="3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2" xfId="0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51" xfId="0" applyBorder="1"/>
    <xf numFmtId="0" fontId="1" fillId="0" borderId="52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0" fillId="5" borderId="6" xfId="0" applyFont="1" applyFill="1" applyBorder="1"/>
    <xf numFmtId="0" fontId="10" fillId="5" borderId="7" xfId="0" applyFont="1" applyFill="1" applyBorder="1"/>
    <xf numFmtId="0" fontId="10" fillId="5" borderId="7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2" fillId="0" borderId="0" xfId="0" applyFo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0" xfId="0" applyFont="1"/>
    <xf numFmtId="0" fontId="11" fillId="3" borderId="2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2" borderId="7" xfId="0" applyFont="1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2" fillId="2" borderId="7" xfId="0" applyFont="1" applyFill="1" applyBorder="1"/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/>
    <xf numFmtId="0" fontId="7" fillId="8" borderId="7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1" xfId="0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2" fontId="18" fillId="10" borderId="7" xfId="0" applyNumberFormat="1" applyFont="1" applyFill="1" applyBorder="1" applyAlignment="1">
      <alignment horizontal="center" vertical="center" wrapText="1"/>
    </xf>
    <xf numFmtId="2" fontId="18" fillId="1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1" fillId="0" borderId="37" xfId="0" applyFont="1" applyBorder="1"/>
    <xf numFmtId="0" fontId="1" fillId="0" borderId="38" xfId="0" applyFon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 vertical="center" shrinkToFit="1"/>
    </xf>
    <xf numFmtId="165" fontId="19" fillId="0" borderId="5" xfId="0" applyNumberFormat="1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 shrinkToFit="1"/>
    </xf>
    <xf numFmtId="2" fontId="20" fillId="0" borderId="19" xfId="0" applyNumberFormat="1" applyFont="1" applyBorder="1" applyAlignment="1">
      <alignment horizontal="center" vertical="center" wrapText="1" shrinkToFit="1"/>
    </xf>
    <xf numFmtId="0" fontId="17" fillId="0" borderId="0" xfId="0" applyFont="1" applyAlignment="1">
      <alignment vertical="center"/>
    </xf>
    <xf numFmtId="1" fontId="19" fillId="0" borderId="3" xfId="0" applyNumberFormat="1" applyFont="1" applyBorder="1" applyAlignment="1">
      <alignment horizontal="center" vertical="center" shrinkToFit="1"/>
    </xf>
    <xf numFmtId="165" fontId="19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shrinkToFit="1"/>
    </xf>
    <xf numFmtId="2" fontId="20" fillId="0" borderId="18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shrinkToFit="1"/>
    </xf>
    <xf numFmtId="2" fontId="20" fillId="0" borderId="1" xfId="0" applyNumberFormat="1" applyFont="1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1" fillId="3" borderId="6" xfId="0" applyFont="1" applyFill="1" applyBorder="1"/>
    <xf numFmtId="1" fontId="20" fillId="0" borderId="5" xfId="0" applyNumberFormat="1" applyFont="1" applyBorder="1" applyAlignment="1">
      <alignment horizontal="center" vertical="center" wrapText="1" shrinkToFit="1"/>
    </xf>
    <xf numFmtId="1" fontId="19" fillId="0" borderId="13" xfId="0" applyNumberFormat="1" applyFont="1" applyBorder="1" applyAlignment="1">
      <alignment horizontal="center" vertical="center" shrinkToFit="1"/>
    </xf>
    <xf numFmtId="165" fontId="19" fillId="0" borderId="14" xfId="0" applyNumberFormat="1" applyFont="1" applyBorder="1" applyAlignment="1">
      <alignment horizontal="center" vertical="center" shrinkToFit="1"/>
    </xf>
    <xf numFmtId="1" fontId="19" fillId="0" borderId="14" xfId="0" applyNumberFormat="1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left" vertical="center" wrapText="1"/>
    </xf>
    <xf numFmtId="2" fontId="20" fillId="0" borderId="14" xfId="0" applyNumberFormat="1" applyFont="1" applyBorder="1" applyAlignment="1">
      <alignment horizontal="center" vertical="center" wrapText="1" shrinkToFit="1"/>
    </xf>
    <xf numFmtId="2" fontId="17" fillId="0" borderId="14" xfId="0" applyNumberFormat="1" applyFont="1" applyBorder="1" applyAlignment="1">
      <alignment horizontal="center" vertical="center" wrapText="1"/>
    </xf>
    <xf numFmtId="2" fontId="20" fillId="0" borderId="20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7" xfId="0" applyFont="1" applyBorder="1"/>
    <xf numFmtId="1" fontId="17" fillId="0" borderId="7" xfId="0" applyNumberFormat="1" applyFont="1" applyBorder="1"/>
    <xf numFmtId="0" fontId="17" fillId="0" borderId="17" xfId="0" applyFont="1" applyBorder="1" applyAlignment="1">
      <alignment horizontal="center"/>
    </xf>
    <xf numFmtId="1" fontId="17" fillId="0" borderId="7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" fillId="0" borderId="7" xfId="0" applyFont="1" applyBorder="1"/>
    <xf numFmtId="0" fontId="10" fillId="0" borderId="7" xfId="0" applyFont="1" applyBorder="1"/>
    <xf numFmtId="0" fontId="11" fillId="3" borderId="7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2" fontId="20" fillId="0" borderId="14" xfId="0" applyNumberFormat="1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6" borderId="7" xfId="0" applyFont="1" applyFill="1" applyBorder="1" applyAlignment="1">
      <alignment horizontal="center"/>
    </xf>
    <xf numFmtId="0" fontId="0" fillId="0" borderId="26" xfId="0" applyBorder="1"/>
    <xf numFmtId="0" fontId="0" fillId="0" borderId="29" xfId="0" applyBorder="1"/>
    <xf numFmtId="0" fontId="1" fillId="0" borderId="33" xfId="0" applyFont="1" applyBorder="1"/>
    <xf numFmtId="0" fontId="1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1" fillId="0" borderId="1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1" fontId="6" fillId="3" borderId="17" xfId="0" applyNumberFormat="1" applyFont="1" applyFill="1" applyBorder="1" applyAlignment="1">
      <alignment horizontal="center"/>
    </xf>
    <xf numFmtId="0" fontId="0" fillId="0" borderId="37" xfId="0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1" fillId="0" borderId="21" xfId="0" applyFont="1" applyBorder="1"/>
    <xf numFmtId="0" fontId="1" fillId="0" borderId="40" xfId="0" applyFont="1" applyBorder="1"/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0" fillId="0" borderId="3" xfId="0" applyBorder="1"/>
    <xf numFmtId="0" fontId="0" fillId="0" borderId="1" xfId="0" applyBorder="1"/>
    <xf numFmtId="0" fontId="1" fillId="0" borderId="6" xfId="0" applyFont="1" applyBorder="1"/>
    <xf numFmtId="0" fontId="1" fillId="0" borderId="7" xfId="0" applyFont="1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0" borderId="24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5" xfId="0" applyBorder="1"/>
    <xf numFmtId="0" fontId="0" fillId="0" borderId="44" xfId="0" applyBorder="1"/>
    <xf numFmtId="0" fontId="0" fillId="0" borderId="46" xfId="0" applyBorder="1"/>
    <xf numFmtId="0" fontId="0" fillId="0" borderId="42" xfId="0" applyBorder="1"/>
    <xf numFmtId="0" fontId="2" fillId="0" borderId="30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2" xfId="0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0" fillId="0" borderId="45" xfId="0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0" borderId="20" xfId="0" applyBorder="1" applyAlignment="1">
      <alignment horizontal="left"/>
    </xf>
    <xf numFmtId="0" fontId="14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P416"/>
  <sheetViews>
    <sheetView tabSelected="1" topLeftCell="A116" zoomScale="85" zoomScaleNormal="85" workbookViewId="0">
      <selection activeCell="A139" sqref="A139:XFD139"/>
    </sheetView>
  </sheetViews>
  <sheetFormatPr defaultRowHeight="14.5" x14ac:dyDescent="0.35"/>
  <cols>
    <col min="2" max="2" width="3.54296875" customWidth="1"/>
    <col min="3" max="3" width="17.6328125" bestFit="1" customWidth="1"/>
    <col min="4" max="4" width="10.90625" bestFit="1" customWidth="1"/>
    <col min="5" max="5" width="10.6328125" style="1" bestFit="1" customWidth="1"/>
    <col min="6" max="6" width="12.90625" style="1" customWidth="1"/>
    <col min="7" max="7" width="11.54296875" style="1" customWidth="1"/>
    <col min="8" max="8" width="13.90625" style="1" customWidth="1"/>
    <col min="9" max="9" width="9.54296875" style="1" bestFit="1" customWidth="1"/>
    <col min="10" max="10" width="12.453125" style="11" bestFit="1" customWidth="1"/>
    <col min="11" max="11" width="11" bestFit="1" customWidth="1"/>
    <col min="12" max="12" width="21.08984375" bestFit="1" customWidth="1"/>
    <col min="14" max="14" width="8.81640625" bestFit="1" customWidth="1"/>
    <col min="15" max="15" width="8.81640625" customWidth="1"/>
    <col min="16" max="16" width="28.453125" customWidth="1"/>
  </cols>
  <sheetData>
    <row r="2" spans="4:16" ht="16" thickBot="1" x14ac:dyDescent="0.4">
      <c r="D2" s="346" t="s">
        <v>58</v>
      </c>
      <c r="E2" s="346"/>
      <c r="F2" s="346"/>
      <c r="G2" s="346"/>
      <c r="H2" s="346"/>
    </row>
    <row r="3" spans="4:16" ht="15" thickBot="1" x14ac:dyDescent="0.4">
      <c r="D3" s="114" t="s">
        <v>1</v>
      </c>
      <c r="E3" s="115" t="s">
        <v>55</v>
      </c>
      <c r="F3" s="115" t="s">
        <v>5</v>
      </c>
      <c r="G3" s="368" t="s">
        <v>7</v>
      </c>
      <c r="H3" s="369"/>
    </row>
    <row r="4" spans="4:16" ht="15" thickBot="1" x14ac:dyDescent="0.4">
      <c r="D4" s="12" t="s">
        <v>6</v>
      </c>
      <c r="E4" s="3" t="s">
        <v>56</v>
      </c>
      <c r="F4" s="3">
        <v>100000</v>
      </c>
      <c r="G4" s="372"/>
      <c r="H4" s="373"/>
      <c r="L4" s="173" t="s">
        <v>1</v>
      </c>
      <c r="M4" s="74" t="s">
        <v>55</v>
      </c>
      <c r="N4" s="74" t="s">
        <v>68</v>
      </c>
      <c r="O4" s="74" t="s">
        <v>98</v>
      </c>
      <c r="P4" s="129" t="s">
        <v>99</v>
      </c>
    </row>
    <row r="5" spans="4:16" x14ac:dyDescent="0.35">
      <c r="D5" s="13" t="s">
        <v>2</v>
      </c>
      <c r="E5" s="2" t="s">
        <v>56</v>
      </c>
      <c r="F5" s="2">
        <v>12000000</v>
      </c>
      <c r="G5" s="323"/>
      <c r="H5" s="324"/>
      <c r="L5" s="172" t="s">
        <v>59</v>
      </c>
      <c r="M5" s="60" t="s">
        <v>60</v>
      </c>
      <c r="N5" s="60">
        <v>10000000</v>
      </c>
      <c r="O5" s="60">
        <v>11275</v>
      </c>
      <c r="P5" s="98" t="s">
        <v>100</v>
      </c>
    </row>
    <row r="6" spans="4:16" x14ac:dyDescent="0.35">
      <c r="D6" s="13" t="s">
        <v>9</v>
      </c>
      <c r="E6" s="2" t="s">
        <v>56</v>
      </c>
      <c r="F6" s="2">
        <v>20000000</v>
      </c>
      <c r="G6" s="323"/>
      <c r="H6" s="324"/>
      <c r="L6" s="13" t="s">
        <v>59</v>
      </c>
      <c r="M6" s="2" t="s">
        <v>60</v>
      </c>
      <c r="N6" s="2">
        <v>6000000</v>
      </c>
      <c r="O6" s="2">
        <v>11277</v>
      </c>
      <c r="P6" s="154" t="s">
        <v>101</v>
      </c>
    </row>
    <row r="7" spans="4:16" x14ac:dyDescent="0.35">
      <c r="D7" s="13" t="s">
        <v>10</v>
      </c>
      <c r="E7" s="2" t="s">
        <v>56</v>
      </c>
      <c r="F7" s="2">
        <v>20000000</v>
      </c>
      <c r="G7" s="323"/>
      <c r="H7" s="324"/>
      <c r="L7" s="13" t="s">
        <v>59</v>
      </c>
      <c r="M7" s="2" t="s">
        <v>60</v>
      </c>
      <c r="N7" s="2">
        <v>4000000</v>
      </c>
      <c r="O7" s="2">
        <v>11276</v>
      </c>
      <c r="P7" s="154" t="s">
        <v>102</v>
      </c>
    </row>
    <row r="8" spans="4:16" x14ac:dyDescent="0.35">
      <c r="D8" s="13" t="s">
        <v>11</v>
      </c>
      <c r="E8" s="2" t="s">
        <v>56</v>
      </c>
      <c r="F8" s="2">
        <v>20000000</v>
      </c>
      <c r="G8" s="323"/>
      <c r="H8" s="324"/>
      <c r="L8" s="13"/>
      <c r="M8" s="2"/>
      <c r="N8" s="2"/>
      <c r="O8" s="2"/>
      <c r="P8" s="154"/>
    </row>
    <row r="9" spans="4:16" ht="15" thickBot="1" x14ac:dyDescent="0.4">
      <c r="D9" s="13" t="s">
        <v>12</v>
      </c>
      <c r="E9" s="2" t="s">
        <v>56</v>
      </c>
      <c r="F9" s="2">
        <v>30000000</v>
      </c>
      <c r="G9" s="323"/>
      <c r="H9" s="324"/>
      <c r="L9" s="14"/>
      <c r="M9" s="6"/>
      <c r="N9" s="6"/>
      <c r="O9" s="6"/>
      <c r="P9" s="15"/>
    </row>
    <row r="10" spans="4:16" ht="15" thickBot="1" x14ac:dyDescent="0.4">
      <c r="D10" s="13" t="s">
        <v>33</v>
      </c>
      <c r="E10" s="2" t="s">
        <v>56</v>
      </c>
      <c r="F10" s="2">
        <v>29750000</v>
      </c>
      <c r="G10" s="323"/>
      <c r="H10" s="324"/>
      <c r="L10" s="173" t="s">
        <v>3</v>
      </c>
      <c r="M10" s="74"/>
      <c r="N10" s="74">
        <f>SUM(N5:N9)</f>
        <v>20000000</v>
      </c>
      <c r="O10" s="74"/>
      <c r="P10" s="129"/>
    </row>
    <row r="11" spans="4:16" x14ac:dyDescent="0.35">
      <c r="D11" s="13" t="s">
        <v>34</v>
      </c>
      <c r="E11" s="2" t="s">
        <v>56</v>
      </c>
      <c r="F11" s="2">
        <v>20250000</v>
      </c>
      <c r="G11" s="323"/>
      <c r="H11" s="324"/>
    </row>
    <row r="12" spans="4:16" x14ac:dyDescent="0.35">
      <c r="D12" s="13" t="s">
        <v>38</v>
      </c>
      <c r="E12" s="2" t="s">
        <v>56</v>
      </c>
      <c r="F12" s="2">
        <v>26800000</v>
      </c>
      <c r="G12" s="323"/>
      <c r="H12" s="324"/>
      <c r="L12" t="s">
        <v>103</v>
      </c>
    </row>
    <row r="13" spans="4:16" x14ac:dyDescent="0.35">
      <c r="D13" s="13" t="s">
        <v>59</v>
      </c>
      <c r="E13" s="2" t="s">
        <v>56</v>
      </c>
      <c r="F13" s="2">
        <v>3200000</v>
      </c>
      <c r="G13" s="323"/>
      <c r="H13" s="324"/>
    </row>
    <row r="14" spans="4:16" x14ac:dyDescent="0.35">
      <c r="D14" s="13" t="s">
        <v>71</v>
      </c>
      <c r="E14" s="2" t="s">
        <v>56</v>
      </c>
      <c r="F14" s="2">
        <v>50000000</v>
      </c>
      <c r="G14" s="323"/>
      <c r="H14" s="324"/>
    </row>
    <row r="15" spans="4:16" x14ac:dyDescent="0.35">
      <c r="D15" s="13" t="s">
        <v>75</v>
      </c>
      <c r="E15" s="2" t="s">
        <v>56</v>
      </c>
      <c r="F15" s="2">
        <v>50000000</v>
      </c>
      <c r="G15" s="323"/>
      <c r="H15" s="324"/>
    </row>
    <row r="16" spans="4:16" x14ac:dyDescent="0.35">
      <c r="D16" s="13" t="s">
        <v>76</v>
      </c>
      <c r="E16" s="2" t="s">
        <v>56</v>
      </c>
      <c r="F16" s="2">
        <v>70000000</v>
      </c>
      <c r="G16" s="323"/>
      <c r="H16" s="324"/>
    </row>
    <row r="17" spans="4:8" x14ac:dyDescent="0.35">
      <c r="D17" s="13" t="s">
        <v>79</v>
      </c>
      <c r="E17" s="2" t="s">
        <v>56</v>
      </c>
      <c r="F17" s="2">
        <v>20000000</v>
      </c>
      <c r="G17" s="323"/>
      <c r="H17" s="324"/>
    </row>
    <row r="18" spans="4:8" x14ac:dyDescent="0.35">
      <c r="D18" s="13" t="s">
        <v>88</v>
      </c>
      <c r="E18" s="2" t="s">
        <v>56</v>
      </c>
      <c r="F18" s="2">
        <v>47900000</v>
      </c>
      <c r="G18" s="323"/>
      <c r="H18" s="324"/>
    </row>
    <row r="19" spans="4:8" x14ac:dyDescent="0.35">
      <c r="D19" s="13" t="s">
        <v>123</v>
      </c>
      <c r="E19" s="2" t="s">
        <v>56</v>
      </c>
      <c r="F19" s="2">
        <v>45000000</v>
      </c>
      <c r="G19" s="323"/>
      <c r="H19" s="324"/>
    </row>
    <row r="20" spans="4:8" x14ac:dyDescent="0.35">
      <c r="D20" s="13" t="s">
        <v>124</v>
      </c>
      <c r="E20" s="2" t="s">
        <v>56</v>
      </c>
      <c r="F20" s="2">
        <v>62500000</v>
      </c>
      <c r="G20" s="323"/>
      <c r="H20" s="324"/>
    </row>
    <row r="21" spans="4:8" x14ac:dyDescent="0.35">
      <c r="D21" s="13" t="s">
        <v>137</v>
      </c>
      <c r="E21" s="2" t="s">
        <v>56</v>
      </c>
      <c r="F21" s="2">
        <v>25000000</v>
      </c>
      <c r="G21" s="323"/>
      <c r="H21" s="324"/>
    </row>
    <row r="22" spans="4:8" x14ac:dyDescent="0.35">
      <c r="D22" s="13" t="s">
        <v>157</v>
      </c>
      <c r="E22" s="2" t="s">
        <v>56</v>
      </c>
      <c r="F22" s="2">
        <v>20000000</v>
      </c>
      <c r="G22" s="323"/>
      <c r="H22" s="324"/>
    </row>
    <row r="23" spans="4:8" x14ac:dyDescent="0.35">
      <c r="D23" s="13" t="s">
        <v>238</v>
      </c>
      <c r="E23" s="2" t="s">
        <v>56</v>
      </c>
      <c r="F23" s="2">
        <v>20000000</v>
      </c>
      <c r="G23" s="323"/>
      <c r="H23" s="324"/>
    </row>
    <row r="24" spans="4:8" x14ac:dyDescent="0.35">
      <c r="D24" s="14" t="s">
        <v>246</v>
      </c>
      <c r="E24" s="6" t="s">
        <v>56</v>
      </c>
      <c r="F24" s="6">
        <v>10236000</v>
      </c>
      <c r="G24" s="323"/>
      <c r="H24" s="324"/>
    </row>
    <row r="25" spans="4:8" x14ac:dyDescent="0.35">
      <c r="D25" s="14" t="s">
        <v>246</v>
      </c>
      <c r="E25" s="6" t="s">
        <v>56</v>
      </c>
      <c r="F25" s="6">
        <v>450000</v>
      </c>
      <c r="G25" s="323" t="s">
        <v>257</v>
      </c>
      <c r="H25" s="324"/>
    </row>
    <row r="26" spans="4:8" ht="15" thickBot="1" x14ac:dyDescent="0.4">
      <c r="D26" s="14"/>
      <c r="E26" s="6"/>
      <c r="F26" s="6"/>
      <c r="G26" s="341"/>
      <c r="H26" s="377"/>
    </row>
    <row r="27" spans="4:8" ht="15" thickBot="1" x14ac:dyDescent="0.4">
      <c r="D27" s="116" t="s">
        <v>3</v>
      </c>
      <c r="E27" s="117"/>
      <c r="F27" s="117">
        <f>SUM(F4:F26)</f>
        <v>603186000</v>
      </c>
      <c r="G27" s="375"/>
      <c r="H27" s="376"/>
    </row>
    <row r="28" spans="4:8" ht="15" thickBot="1" x14ac:dyDescent="0.4"/>
    <row r="29" spans="4:8" ht="15" thickBot="1" x14ac:dyDescent="0.4">
      <c r="D29" s="330" t="s">
        <v>25</v>
      </c>
      <c r="E29" s="331"/>
      <c r="F29" s="74" t="s">
        <v>68</v>
      </c>
      <c r="G29" s="74" t="s">
        <v>82</v>
      </c>
      <c r="H29" s="129" t="s">
        <v>83</v>
      </c>
    </row>
    <row r="30" spans="4:8" x14ac:dyDescent="0.35">
      <c r="D30" s="332" t="s">
        <v>84</v>
      </c>
      <c r="E30" s="333"/>
      <c r="F30" s="3">
        <v>410000000</v>
      </c>
      <c r="G30" s="3">
        <f>J110</f>
        <v>457161000</v>
      </c>
      <c r="H30" s="155">
        <f>F30-G30</f>
        <v>-47161000</v>
      </c>
    </row>
    <row r="31" spans="4:8" x14ac:dyDescent="0.35">
      <c r="D31" s="328" t="s">
        <v>85</v>
      </c>
      <c r="E31" s="329"/>
      <c r="F31" s="2">
        <v>603186000</v>
      </c>
      <c r="G31" s="2">
        <f>J72</f>
        <v>603186040</v>
      </c>
      <c r="H31" s="154">
        <f>F31-G31</f>
        <v>-40</v>
      </c>
    </row>
    <row r="32" spans="4:8" x14ac:dyDescent="0.35">
      <c r="D32" s="328" t="s">
        <v>260</v>
      </c>
      <c r="E32" s="329"/>
      <c r="F32" s="6">
        <v>36088000</v>
      </c>
      <c r="G32" s="6">
        <f>F32</f>
        <v>36088000</v>
      </c>
      <c r="H32" s="154">
        <f>F32-G32</f>
        <v>0</v>
      </c>
    </row>
    <row r="33" spans="3:10" ht="15" thickBot="1" x14ac:dyDescent="0.4">
      <c r="D33" s="334"/>
      <c r="E33" s="335"/>
      <c r="F33" s="6"/>
      <c r="G33" s="6"/>
      <c r="H33" s="15"/>
    </row>
    <row r="34" spans="3:10" ht="15" thickBot="1" x14ac:dyDescent="0.4">
      <c r="D34" s="330" t="s">
        <v>54</v>
      </c>
      <c r="E34" s="331"/>
      <c r="F34" s="74">
        <f>SUM(F30:F33)</f>
        <v>1049274000</v>
      </c>
      <c r="G34" s="74">
        <f>SUM(G30:G33)</f>
        <v>1096435040</v>
      </c>
      <c r="H34" s="129">
        <f>SUM(H30:H33)</f>
        <v>-47161040</v>
      </c>
    </row>
    <row r="36" spans="3:10" ht="15" thickBot="1" x14ac:dyDescent="0.4"/>
    <row r="37" spans="3:10" x14ac:dyDescent="0.35">
      <c r="D37" s="172" t="s">
        <v>59</v>
      </c>
      <c r="E37" s="60" t="s">
        <v>60</v>
      </c>
      <c r="F37" s="60">
        <v>10000000</v>
      </c>
      <c r="G37" s="338" t="s">
        <v>63</v>
      </c>
      <c r="H37" s="374"/>
    </row>
    <row r="38" spans="3:10" x14ac:dyDescent="0.35">
      <c r="D38" s="13" t="s">
        <v>59</v>
      </c>
      <c r="E38" s="2" t="s">
        <v>60</v>
      </c>
      <c r="F38" s="2">
        <v>6000000</v>
      </c>
      <c r="G38" s="323" t="s">
        <v>64</v>
      </c>
      <c r="H38" s="324"/>
    </row>
    <row r="39" spans="3:10" x14ac:dyDescent="0.35">
      <c r="D39" s="13" t="s">
        <v>59</v>
      </c>
      <c r="E39" s="2" t="s">
        <v>60</v>
      </c>
      <c r="F39" s="2">
        <v>4000000</v>
      </c>
      <c r="G39" s="323" t="s">
        <v>65</v>
      </c>
      <c r="H39" s="324"/>
    </row>
    <row r="40" spans="3:10" ht="15" thickBot="1" x14ac:dyDescent="0.4">
      <c r="D40" s="174" t="s">
        <v>141</v>
      </c>
      <c r="E40" s="31" t="s">
        <v>60</v>
      </c>
      <c r="F40" s="31">
        <v>10000000</v>
      </c>
      <c r="G40" s="370"/>
      <c r="H40" s="371"/>
    </row>
    <row r="42" spans="3:10" ht="15" thickBot="1" x14ac:dyDescent="0.4"/>
    <row r="43" spans="3:10" ht="16" thickBot="1" x14ac:dyDescent="0.4">
      <c r="C43" s="354" t="s">
        <v>61</v>
      </c>
      <c r="D43" s="355"/>
      <c r="E43" s="355"/>
      <c r="F43" s="355"/>
      <c r="G43" s="355"/>
      <c r="H43" s="355"/>
      <c r="I43" s="355"/>
      <c r="J43" s="356"/>
    </row>
    <row r="44" spans="3:10" s="16" customFormat="1" ht="16" thickBot="1" x14ac:dyDescent="0.4">
      <c r="C44" s="17" t="s">
        <v>1</v>
      </c>
      <c r="D44" s="100" t="s">
        <v>55</v>
      </c>
      <c r="E44" s="18" t="s">
        <v>41</v>
      </c>
      <c r="F44" s="18" t="s">
        <v>0</v>
      </c>
      <c r="G44" s="18" t="s">
        <v>8</v>
      </c>
      <c r="H44" s="19" t="s">
        <v>36</v>
      </c>
      <c r="I44" s="75" t="s">
        <v>37</v>
      </c>
      <c r="J44" s="20" t="s">
        <v>3</v>
      </c>
    </row>
    <row r="45" spans="3:10" x14ac:dyDescent="0.35">
      <c r="C45" s="12" t="s">
        <v>6</v>
      </c>
      <c r="D45" s="101" t="s">
        <v>56</v>
      </c>
      <c r="E45" s="3"/>
      <c r="F45" s="3"/>
      <c r="G45" s="3"/>
      <c r="H45" s="4">
        <v>100000</v>
      </c>
      <c r="I45" s="4"/>
      <c r="J45" s="8">
        <f>+SUM(E45:I45)</f>
        <v>100000</v>
      </c>
    </row>
    <row r="46" spans="3:10" x14ac:dyDescent="0.35">
      <c r="C46" s="13" t="s">
        <v>2</v>
      </c>
      <c r="D46" s="102" t="s">
        <v>56</v>
      </c>
      <c r="E46" s="2">
        <v>3900000</v>
      </c>
      <c r="F46" s="2">
        <v>2000000</v>
      </c>
      <c r="G46" s="2">
        <v>2100000</v>
      </c>
      <c r="H46" s="5">
        <v>4000000</v>
      </c>
      <c r="I46" s="5">
        <v>0</v>
      </c>
      <c r="J46" s="9">
        <f>+SUM(E46:I46)</f>
        <v>12000000</v>
      </c>
    </row>
    <row r="47" spans="3:10" x14ac:dyDescent="0.35">
      <c r="C47" s="13" t="s">
        <v>4</v>
      </c>
      <c r="D47" s="102" t="s">
        <v>56</v>
      </c>
      <c r="E47" s="2">
        <v>6600000</v>
      </c>
      <c r="F47" s="2">
        <v>3300000</v>
      </c>
      <c r="G47" s="2">
        <v>3400000</v>
      </c>
      <c r="H47" s="5">
        <v>6700000</v>
      </c>
      <c r="I47" s="5">
        <v>0</v>
      </c>
      <c r="J47" s="9">
        <f t="shared" ref="J47:J70" si="0">+SUM(E47:I47)</f>
        <v>20000000</v>
      </c>
    </row>
    <row r="48" spans="3:10" x14ac:dyDescent="0.35">
      <c r="C48" s="13" t="s">
        <v>10</v>
      </c>
      <c r="D48" s="102" t="s">
        <v>56</v>
      </c>
      <c r="E48" s="2">
        <v>5300000</v>
      </c>
      <c r="F48" s="2">
        <v>3400000</v>
      </c>
      <c r="G48" s="2">
        <v>3300000</v>
      </c>
      <c r="H48" s="5">
        <v>8000000</v>
      </c>
      <c r="I48" s="5">
        <v>0</v>
      </c>
      <c r="J48" s="9">
        <f t="shared" si="0"/>
        <v>20000000</v>
      </c>
    </row>
    <row r="49" spans="3:12" x14ac:dyDescent="0.35">
      <c r="C49" s="13" t="s">
        <v>11</v>
      </c>
      <c r="D49" s="102" t="s">
        <v>56</v>
      </c>
      <c r="E49" s="2">
        <v>0</v>
      </c>
      <c r="F49" s="2">
        <v>1500000</v>
      </c>
      <c r="G49" s="23">
        <v>6000000</v>
      </c>
      <c r="H49" s="5">
        <v>12500000</v>
      </c>
      <c r="I49" s="5">
        <v>0</v>
      </c>
      <c r="J49" s="9">
        <f t="shared" si="0"/>
        <v>20000000</v>
      </c>
    </row>
    <row r="50" spans="3:12" x14ac:dyDescent="0.35">
      <c r="C50" s="13" t="s">
        <v>12</v>
      </c>
      <c r="D50" s="102" t="s">
        <v>56</v>
      </c>
      <c r="E50" s="2">
        <v>18200000</v>
      </c>
      <c r="F50" s="2">
        <v>6800000</v>
      </c>
      <c r="G50" s="2">
        <v>2250000</v>
      </c>
      <c r="H50" s="5">
        <v>2750000</v>
      </c>
      <c r="I50" s="5">
        <v>0</v>
      </c>
      <c r="J50" s="9">
        <f t="shared" si="0"/>
        <v>30000000</v>
      </c>
    </row>
    <row r="51" spans="3:12" x14ac:dyDescent="0.35">
      <c r="C51" s="13" t="s">
        <v>33</v>
      </c>
      <c r="D51" s="102" t="s">
        <v>56</v>
      </c>
      <c r="E51" s="2">
        <v>0</v>
      </c>
      <c r="F51" s="2">
        <v>7000000</v>
      </c>
      <c r="G51" s="2">
        <v>0</v>
      </c>
      <c r="H51" s="5">
        <v>22750000</v>
      </c>
      <c r="I51" s="5">
        <v>0</v>
      </c>
      <c r="J51" s="9">
        <f t="shared" si="0"/>
        <v>29750000</v>
      </c>
    </row>
    <row r="52" spans="3:12" x14ac:dyDescent="0.35">
      <c r="C52" s="13" t="s">
        <v>34</v>
      </c>
      <c r="D52" s="102" t="s">
        <v>56</v>
      </c>
      <c r="E52" s="2">
        <v>11000000</v>
      </c>
      <c r="F52" s="2">
        <v>0</v>
      </c>
      <c r="G52" s="2">
        <v>9250000</v>
      </c>
      <c r="H52" s="5">
        <v>0</v>
      </c>
      <c r="I52" s="5">
        <v>0</v>
      </c>
      <c r="J52" s="9">
        <f t="shared" si="0"/>
        <v>20250000</v>
      </c>
    </row>
    <row r="53" spans="3:12" x14ac:dyDescent="0.35">
      <c r="C53" s="13" t="s">
        <v>38</v>
      </c>
      <c r="D53" s="102" t="s">
        <v>56</v>
      </c>
      <c r="E53" s="2">
        <v>0</v>
      </c>
      <c r="F53" s="2">
        <v>0</v>
      </c>
      <c r="G53" s="2">
        <v>0</v>
      </c>
      <c r="H53" s="5">
        <v>0</v>
      </c>
      <c r="I53" s="5">
        <v>26800000</v>
      </c>
      <c r="J53" s="9">
        <f t="shared" si="0"/>
        <v>26800000</v>
      </c>
    </row>
    <row r="54" spans="3:12" x14ac:dyDescent="0.35">
      <c r="C54" s="13" t="s">
        <v>57</v>
      </c>
      <c r="D54" s="102" t="s">
        <v>56</v>
      </c>
      <c r="E54" s="2">
        <v>0</v>
      </c>
      <c r="F54" s="2">
        <v>0</v>
      </c>
      <c r="G54" s="2">
        <v>0</v>
      </c>
      <c r="H54" s="5">
        <v>0</v>
      </c>
      <c r="I54" s="110">
        <v>200000</v>
      </c>
      <c r="J54" s="111">
        <f t="shared" si="0"/>
        <v>200000</v>
      </c>
      <c r="K54" s="109"/>
    </row>
    <row r="55" spans="3:12" x14ac:dyDescent="0.35">
      <c r="C55" s="13" t="s">
        <v>59</v>
      </c>
      <c r="D55" s="102" t="s">
        <v>56</v>
      </c>
      <c r="E55" s="22"/>
      <c r="F55" s="2">
        <v>1300000</v>
      </c>
      <c r="G55" s="2">
        <v>2000000</v>
      </c>
      <c r="H55" s="5">
        <v>0</v>
      </c>
      <c r="I55" s="5">
        <v>0</v>
      </c>
      <c r="J55" s="111">
        <f t="shared" si="0"/>
        <v>3300000</v>
      </c>
      <c r="K55" s="109"/>
      <c r="L55" s="112" t="s">
        <v>70</v>
      </c>
    </row>
    <row r="56" spans="3:12" x14ac:dyDescent="0.35">
      <c r="C56" s="13" t="s">
        <v>66</v>
      </c>
      <c r="D56" s="102" t="s">
        <v>56</v>
      </c>
      <c r="E56" s="2">
        <v>-88000</v>
      </c>
      <c r="F56" s="2">
        <v>0</v>
      </c>
      <c r="G56" s="2">
        <v>0</v>
      </c>
      <c r="H56" s="110">
        <v>-212000</v>
      </c>
      <c r="I56" s="5">
        <v>0</v>
      </c>
      <c r="J56" s="111">
        <f t="shared" ref="J56" si="1">+SUM(E56:I56)</f>
        <v>-300000</v>
      </c>
      <c r="K56" s="109"/>
      <c r="L56" s="112" t="s">
        <v>69</v>
      </c>
    </row>
    <row r="57" spans="3:12" x14ac:dyDescent="0.35">
      <c r="C57" s="14" t="s">
        <v>71</v>
      </c>
      <c r="D57" s="103" t="s">
        <v>56</v>
      </c>
      <c r="E57" s="6">
        <v>0</v>
      </c>
      <c r="F57" s="6">
        <v>15900000</v>
      </c>
      <c r="G57" s="6">
        <v>7000000</v>
      </c>
      <c r="H57" s="120">
        <v>27100000</v>
      </c>
      <c r="I57" s="5">
        <v>0</v>
      </c>
      <c r="J57" s="9">
        <f t="shared" si="0"/>
        <v>50000000</v>
      </c>
      <c r="K57" s="109"/>
      <c r="L57" s="112"/>
    </row>
    <row r="58" spans="3:12" x14ac:dyDescent="0.35">
      <c r="C58" s="14" t="s">
        <v>75</v>
      </c>
      <c r="D58" s="103" t="s">
        <v>56</v>
      </c>
      <c r="E58" s="6">
        <v>0</v>
      </c>
      <c r="F58" s="6">
        <v>20500000</v>
      </c>
      <c r="G58" s="6">
        <v>0</v>
      </c>
      <c r="H58" s="120">
        <v>14500000</v>
      </c>
      <c r="I58" s="120">
        <v>15000000</v>
      </c>
      <c r="J58" s="9">
        <f t="shared" si="0"/>
        <v>50000000</v>
      </c>
      <c r="K58" s="109"/>
      <c r="L58" s="112"/>
    </row>
    <row r="59" spans="3:12" x14ac:dyDescent="0.35">
      <c r="C59" s="14" t="s">
        <v>76</v>
      </c>
      <c r="D59" s="103" t="s">
        <v>56</v>
      </c>
      <c r="E59" s="6">
        <v>25000000</v>
      </c>
      <c r="F59" s="6">
        <v>28100000</v>
      </c>
      <c r="G59" s="6">
        <v>0</v>
      </c>
      <c r="H59" s="7">
        <v>11900000</v>
      </c>
      <c r="I59" s="7">
        <v>5000000</v>
      </c>
      <c r="J59" s="9">
        <f t="shared" si="0"/>
        <v>70000000</v>
      </c>
      <c r="K59" s="109"/>
      <c r="L59" s="112"/>
    </row>
    <row r="60" spans="3:12" x14ac:dyDescent="0.35">
      <c r="C60" s="204" t="s">
        <v>76</v>
      </c>
      <c r="D60" s="205" t="s">
        <v>56</v>
      </c>
      <c r="E60" s="206">
        <v>0</v>
      </c>
      <c r="F60" s="206">
        <v>-5353960</v>
      </c>
      <c r="G60" s="206">
        <v>0</v>
      </c>
      <c r="H60" s="207">
        <v>5353960</v>
      </c>
      <c r="I60" s="207">
        <v>0</v>
      </c>
      <c r="J60" s="209">
        <f t="shared" si="0"/>
        <v>0</v>
      </c>
      <c r="K60" s="109"/>
      <c r="L60" s="112" t="s">
        <v>126</v>
      </c>
    </row>
    <row r="61" spans="3:12" x14ac:dyDescent="0.35">
      <c r="C61" s="14" t="s">
        <v>79</v>
      </c>
      <c r="D61" s="103" t="s">
        <v>56</v>
      </c>
      <c r="E61" s="6">
        <v>3600000</v>
      </c>
      <c r="F61" s="6">
        <v>0</v>
      </c>
      <c r="G61" s="6">
        <v>16400000</v>
      </c>
      <c r="H61" s="7">
        <v>0</v>
      </c>
      <c r="I61" s="5">
        <v>0</v>
      </c>
      <c r="J61" s="9">
        <f t="shared" si="0"/>
        <v>20000000</v>
      </c>
      <c r="K61" s="109"/>
      <c r="L61" s="112"/>
    </row>
    <row r="62" spans="3:12" x14ac:dyDescent="0.35">
      <c r="C62" s="14" t="s">
        <v>88</v>
      </c>
      <c r="D62" s="103" t="s">
        <v>56</v>
      </c>
      <c r="E62" s="6">
        <v>5000000</v>
      </c>
      <c r="F62" s="6">
        <v>0</v>
      </c>
      <c r="G62" s="6">
        <v>0</v>
      </c>
      <c r="H62" s="7">
        <v>5400000</v>
      </c>
      <c r="I62" s="7">
        <v>37500000</v>
      </c>
      <c r="J62" s="10">
        <f t="shared" si="0"/>
        <v>47900000</v>
      </c>
      <c r="K62" s="109"/>
      <c r="L62" s="112"/>
    </row>
    <row r="63" spans="3:12" x14ac:dyDescent="0.35">
      <c r="C63" s="14" t="s">
        <v>123</v>
      </c>
      <c r="D63" s="103" t="s">
        <v>56</v>
      </c>
      <c r="E63" s="6">
        <v>25000000</v>
      </c>
      <c r="F63" s="6">
        <v>0</v>
      </c>
      <c r="G63" s="6">
        <v>0</v>
      </c>
      <c r="H63" s="7">
        <v>20000000</v>
      </c>
      <c r="I63" s="7">
        <v>0</v>
      </c>
      <c r="J63" s="10">
        <f t="shared" si="0"/>
        <v>45000000</v>
      </c>
      <c r="K63" s="109"/>
      <c r="L63" s="112"/>
    </row>
    <row r="64" spans="3:12" x14ac:dyDescent="0.35">
      <c r="C64" s="14" t="s">
        <v>124</v>
      </c>
      <c r="D64" s="103" t="s">
        <v>56</v>
      </c>
      <c r="E64" s="6">
        <v>19000000</v>
      </c>
      <c r="F64" s="6">
        <v>0</v>
      </c>
      <c r="G64" s="6">
        <v>30000000</v>
      </c>
      <c r="H64" s="7">
        <v>11000000</v>
      </c>
      <c r="I64" s="7">
        <v>2500000</v>
      </c>
      <c r="J64" s="10">
        <f t="shared" si="0"/>
        <v>62500000</v>
      </c>
      <c r="K64" s="109"/>
      <c r="L64" s="112"/>
    </row>
    <row r="65" spans="3:12" x14ac:dyDescent="0.35">
      <c r="C65" s="14" t="s">
        <v>137</v>
      </c>
      <c r="D65" s="103" t="s">
        <v>56</v>
      </c>
      <c r="E65" s="6">
        <v>15000000</v>
      </c>
      <c r="F65" s="6">
        <v>0</v>
      </c>
      <c r="G65" s="6">
        <v>0</v>
      </c>
      <c r="H65" s="7">
        <v>6000000</v>
      </c>
      <c r="I65" s="7">
        <v>4000000</v>
      </c>
      <c r="J65" s="10">
        <f t="shared" si="0"/>
        <v>25000000</v>
      </c>
      <c r="K65" s="109"/>
      <c r="L65" s="112"/>
    </row>
    <row r="66" spans="3:12" x14ac:dyDescent="0.35">
      <c r="C66" s="14" t="s">
        <v>157</v>
      </c>
      <c r="D66" s="103" t="s">
        <v>56</v>
      </c>
      <c r="E66" s="6">
        <v>14000000</v>
      </c>
      <c r="F66" s="6">
        <v>0</v>
      </c>
      <c r="G66" s="6">
        <v>0</v>
      </c>
      <c r="H66" s="7">
        <v>6000000</v>
      </c>
      <c r="I66" s="7">
        <v>0</v>
      </c>
      <c r="J66" s="10">
        <f t="shared" si="0"/>
        <v>20000000</v>
      </c>
      <c r="K66" s="109"/>
      <c r="L66" s="112"/>
    </row>
    <row r="67" spans="3:12" x14ac:dyDescent="0.35">
      <c r="C67" s="14" t="s">
        <v>238</v>
      </c>
      <c r="D67" s="103" t="s">
        <v>56</v>
      </c>
      <c r="E67" s="6">
        <v>17250000</v>
      </c>
      <c r="F67" s="6">
        <v>0</v>
      </c>
      <c r="G67" s="6">
        <v>2750000</v>
      </c>
      <c r="H67" s="7">
        <v>-5000000</v>
      </c>
      <c r="I67" s="7">
        <v>5000000</v>
      </c>
      <c r="J67" s="10">
        <f t="shared" si="0"/>
        <v>20000000</v>
      </c>
      <c r="K67" s="109"/>
      <c r="L67" s="112"/>
    </row>
    <row r="68" spans="3:12" x14ac:dyDescent="0.35">
      <c r="C68" s="14" t="s">
        <v>246</v>
      </c>
      <c r="D68" s="103" t="s">
        <v>56</v>
      </c>
      <c r="E68" s="6">
        <v>36000</v>
      </c>
      <c r="F68" s="6">
        <v>0</v>
      </c>
      <c r="G68" s="6">
        <v>0</v>
      </c>
      <c r="H68" s="7">
        <v>10200000</v>
      </c>
      <c r="I68" s="7">
        <v>0</v>
      </c>
      <c r="J68" s="10">
        <f t="shared" si="0"/>
        <v>10236000</v>
      </c>
      <c r="K68" s="109"/>
      <c r="L68" s="112"/>
    </row>
    <row r="69" spans="3:12" x14ac:dyDescent="0.35">
      <c r="C69" s="204" t="s">
        <v>247</v>
      </c>
      <c r="D69" s="205" t="s">
        <v>256</v>
      </c>
      <c r="E69" s="206">
        <v>0</v>
      </c>
      <c r="F69" s="206">
        <v>0</v>
      </c>
      <c r="G69" s="206">
        <v>0</v>
      </c>
      <c r="H69" s="207">
        <v>450000</v>
      </c>
      <c r="I69" s="207">
        <v>0</v>
      </c>
      <c r="J69" s="280">
        <f t="shared" ref="J69" si="2">+SUM(E69:I69)</f>
        <v>450000</v>
      </c>
      <c r="K69" s="109"/>
      <c r="L69" s="112"/>
    </row>
    <row r="70" spans="3:12" x14ac:dyDescent="0.35">
      <c r="C70" s="14" t="s">
        <v>247</v>
      </c>
      <c r="D70" s="103" t="s">
        <v>56</v>
      </c>
      <c r="E70" s="6">
        <v>94000</v>
      </c>
      <c r="F70" s="6">
        <v>0</v>
      </c>
      <c r="G70" s="6">
        <v>-3960</v>
      </c>
      <c r="H70" s="7">
        <f>-510000-90000</f>
        <v>-600000</v>
      </c>
      <c r="I70" s="7">
        <v>510000</v>
      </c>
      <c r="J70" s="10">
        <f t="shared" si="0"/>
        <v>40</v>
      </c>
      <c r="K70" s="109"/>
      <c r="L70" s="112"/>
    </row>
    <row r="71" spans="3:12" ht="15" thickBot="1" x14ac:dyDescent="0.4">
      <c r="C71" s="14"/>
      <c r="D71" s="103"/>
      <c r="E71" s="6"/>
      <c r="F71" s="6"/>
      <c r="G71" s="6"/>
      <c r="H71" s="7"/>
      <c r="I71" s="7"/>
      <c r="J71" s="10"/>
    </row>
    <row r="72" spans="3:12" s="21" customFormat="1" ht="16" thickBot="1" x14ac:dyDescent="0.4">
      <c r="C72" s="121" t="s">
        <v>3</v>
      </c>
      <c r="D72" s="122"/>
      <c r="E72" s="123">
        <f>SUM(E46:E71)</f>
        <v>168892000</v>
      </c>
      <c r="F72" s="123">
        <f>SUM(F46:F71)</f>
        <v>84446040</v>
      </c>
      <c r="G72" s="123">
        <f>SUM(G46:G71)</f>
        <v>84446040</v>
      </c>
      <c r="H72" s="124">
        <f>SUM(H45:H71)</f>
        <v>168891960</v>
      </c>
      <c r="I72" s="124">
        <f>SUM(I45:I71)</f>
        <v>96510000</v>
      </c>
      <c r="J72" s="279">
        <f>SUM(J45:J71)</f>
        <v>603186040</v>
      </c>
    </row>
    <row r="73" spans="3:12" s="21" customFormat="1" ht="16" thickBot="1" x14ac:dyDescent="0.4">
      <c r="C73" s="121" t="s">
        <v>253</v>
      </c>
      <c r="D73" s="123"/>
      <c r="E73" s="123">
        <f>F31*0.28</f>
        <v>168892080.00000003</v>
      </c>
      <c r="F73" s="123">
        <f>F31*0.14</f>
        <v>84446040.000000015</v>
      </c>
      <c r="G73" s="123">
        <f>F31*0.14</f>
        <v>84446040.000000015</v>
      </c>
      <c r="H73" s="123">
        <f>F31*0.28</f>
        <v>168892080.00000003</v>
      </c>
      <c r="I73" s="123">
        <f>F31*0.16</f>
        <v>96509760</v>
      </c>
      <c r="J73" s="158">
        <f>SUM(E73:I73)</f>
        <v>603186000.00000012</v>
      </c>
    </row>
    <row r="74" spans="3:12" s="21" customFormat="1" ht="16" thickBot="1" x14ac:dyDescent="0.4">
      <c r="C74" s="17" t="s">
        <v>254</v>
      </c>
      <c r="D74" s="18"/>
      <c r="E74" s="18">
        <f>E73-E72</f>
        <v>80.000000029802322</v>
      </c>
      <c r="F74" s="18">
        <f t="shared" ref="F74:J74" si="3">F73-F72</f>
        <v>0</v>
      </c>
      <c r="G74" s="18">
        <f t="shared" si="3"/>
        <v>0</v>
      </c>
      <c r="H74" s="18">
        <f t="shared" si="3"/>
        <v>120.00000002980232</v>
      </c>
      <c r="I74" s="18">
        <f t="shared" si="3"/>
        <v>-240</v>
      </c>
      <c r="J74" s="281">
        <f t="shared" si="3"/>
        <v>-39.99999988079071</v>
      </c>
    </row>
    <row r="76" spans="3:12" ht="15" thickBot="1" x14ac:dyDescent="0.4"/>
    <row r="77" spans="3:12" ht="15" thickBot="1" x14ac:dyDescent="0.4">
      <c r="D77" s="330" t="s">
        <v>25</v>
      </c>
      <c r="E77" s="331"/>
      <c r="F77" s="74" t="s">
        <v>68</v>
      </c>
      <c r="G77" s="74" t="s">
        <v>82</v>
      </c>
      <c r="H77" s="129" t="s">
        <v>83</v>
      </c>
    </row>
    <row r="78" spans="3:12" x14ac:dyDescent="0.35">
      <c r="D78" s="332" t="s">
        <v>84</v>
      </c>
      <c r="E78" s="333"/>
      <c r="F78" s="3">
        <v>145000000</v>
      </c>
      <c r="G78" s="3">
        <f>J183</f>
        <v>0</v>
      </c>
      <c r="H78" s="155">
        <f>F78-G78</f>
        <v>145000000</v>
      </c>
    </row>
    <row r="79" spans="3:12" x14ac:dyDescent="0.35">
      <c r="D79" s="328" t="s">
        <v>260</v>
      </c>
      <c r="E79" s="329"/>
      <c r="F79" s="6">
        <v>36088000</v>
      </c>
      <c r="G79" s="2">
        <f>J157</f>
        <v>0</v>
      </c>
      <c r="H79" s="154">
        <f>F79-G79</f>
        <v>36088000</v>
      </c>
    </row>
    <row r="80" spans="3:12" x14ac:dyDescent="0.35">
      <c r="D80" s="328" t="s">
        <v>261</v>
      </c>
      <c r="E80" s="329"/>
      <c r="F80" s="6">
        <v>4100000</v>
      </c>
      <c r="G80" s="6"/>
      <c r="H80" s="154">
        <f>F80-G80</f>
        <v>4100000</v>
      </c>
    </row>
    <row r="81" spans="3:12" x14ac:dyDescent="0.35">
      <c r="D81" s="332" t="s">
        <v>314</v>
      </c>
      <c r="E81" s="333"/>
      <c r="F81" s="6">
        <v>260900000</v>
      </c>
      <c r="G81" s="6"/>
      <c r="H81" s="154">
        <f>F81-G81</f>
        <v>260900000</v>
      </c>
    </row>
    <row r="82" spans="3:12" ht="15" thickBot="1" x14ac:dyDescent="0.4">
      <c r="D82" s="334"/>
      <c r="E82" s="335"/>
      <c r="F82" s="6"/>
      <c r="G82" s="6"/>
      <c r="H82" s="15"/>
    </row>
    <row r="83" spans="3:12" ht="15" thickBot="1" x14ac:dyDescent="0.4">
      <c r="D83" s="330" t="s">
        <v>54</v>
      </c>
      <c r="E83" s="331"/>
      <c r="F83" s="74">
        <f>SUM(F78:F82)</f>
        <v>446088000</v>
      </c>
      <c r="G83" s="74">
        <f>SUM(G78:G82)</f>
        <v>0</v>
      </c>
      <c r="H83" s="129">
        <f>SUM(H78:H82)</f>
        <v>446088000</v>
      </c>
    </row>
    <row r="84" spans="3:12" ht="15" thickBot="1" x14ac:dyDescent="0.4"/>
    <row r="85" spans="3:12" ht="16" thickBot="1" x14ac:dyDescent="0.4">
      <c r="C85" s="357" t="s">
        <v>358</v>
      </c>
      <c r="D85" s="358"/>
      <c r="E85" s="358"/>
      <c r="F85" s="358"/>
      <c r="G85" s="358"/>
      <c r="H85" s="358"/>
      <c r="I85" s="358"/>
      <c r="J85" s="359"/>
    </row>
    <row r="86" spans="3:12" s="16" customFormat="1" ht="16" thickBot="1" x14ac:dyDescent="0.4">
      <c r="C86" s="121" t="s">
        <v>1</v>
      </c>
      <c r="D86" s="122" t="s">
        <v>55</v>
      </c>
      <c r="E86" s="123" t="s">
        <v>41</v>
      </c>
      <c r="F86" s="123" t="s">
        <v>0</v>
      </c>
      <c r="G86" s="123" t="s">
        <v>8</v>
      </c>
      <c r="H86" s="124" t="s">
        <v>36</v>
      </c>
      <c r="I86" s="125" t="s">
        <v>37</v>
      </c>
      <c r="J86" s="126" t="s">
        <v>3</v>
      </c>
    </row>
    <row r="87" spans="3:12" x14ac:dyDescent="0.35">
      <c r="C87" s="148" t="s">
        <v>59</v>
      </c>
      <c r="D87" s="149" t="s">
        <v>60</v>
      </c>
      <c r="E87" s="149">
        <v>11472000</v>
      </c>
      <c r="F87" s="149">
        <v>3000000</v>
      </c>
      <c r="G87" s="149">
        <v>0</v>
      </c>
      <c r="H87" s="149">
        <v>0</v>
      </c>
      <c r="I87" s="149">
        <v>5528000</v>
      </c>
      <c r="J87" s="150">
        <f t="shared" ref="J87:J97" si="4">+SUM(E87:I87)</f>
        <v>20000000</v>
      </c>
      <c r="L87" s="112"/>
    </row>
    <row r="88" spans="3:12" x14ac:dyDescent="0.35">
      <c r="C88" s="211" t="s">
        <v>177</v>
      </c>
      <c r="D88" s="212" t="s">
        <v>60</v>
      </c>
      <c r="E88" s="212">
        <v>0</v>
      </c>
      <c r="F88" s="212">
        <v>0</v>
      </c>
      <c r="G88" s="212">
        <v>0</v>
      </c>
      <c r="H88" s="212">
        <v>0</v>
      </c>
      <c r="I88" s="212">
        <v>10000000</v>
      </c>
      <c r="J88" s="213">
        <f t="shared" si="4"/>
        <v>10000000</v>
      </c>
      <c r="L88" s="112"/>
    </row>
    <row r="89" spans="3:12" x14ac:dyDescent="0.35">
      <c r="C89" s="211" t="s">
        <v>178</v>
      </c>
      <c r="D89" s="212" t="s">
        <v>60</v>
      </c>
      <c r="E89" s="212">
        <v>0</v>
      </c>
      <c r="F89" s="212">
        <v>0</v>
      </c>
      <c r="G89" s="212">
        <v>0</v>
      </c>
      <c r="H89" s="212">
        <v>12500000</v>
      </c>
      <c r="I89" s="212">
        <v>0</v>
      </c>
      <c r="J89" s="213">
        <f t="shared" si="4"/>
        <v>12500000</v>
      </c>
      <c r="L89" s="112"/>
    </row>
    <row r="90" spans="3:12" x14ac:dyDescent="0.35">
      <c r="C90" s="211" t="s">
        <v>141</v>
      </c>
      <c r="D90" s="212" t="s">
        <v>60</v>
      </c>
      <c r="E90" s="212">
        <v>10000000</v>
      </c>
      <c r="F90" s="212">
        <v>0</v>
      </c>
      <c r="G90" s="212">
        <v>0</v>
      </c>
      <c r="H90" s="212">
        <v>0</v>
      </c>
      <c r="I90" s="212">
        <v>0</v>
      </c>
      <c r="J90" s="213">
        <f t="shared" si="4"/>
        <v>10000000</v>
      </c>
      <c r="L90" s="112"/>
    </row>
    <row r="91" spans="3:12" x14ac:dyDescent="0.35">
      <c r="C91" s="211" t="s">
        <v>150</v>
      </c>
      <c r="D91" s="212" t="s">
        <v>60</v>
      </c>
      <c r="E91" s="212">
        <v>0</v>
      </c>
      <c r="F91" s="212">
        <v>0</v>
      </c>
      <c r="G91" s="212">
        <v>8000000</v>
      </c>
      <c r="H91" s="212">
        <v>10000000</v>
      </c>
      <c r="I91" s="212">
        <v>0</v>
      </c>
      <c r="J91" s="213">
        <f t="shared" si="4"/>
        <v>18000000</v>
      </c>
      <c r="L91" s="112"/>
    </row>
    <row r="92" spans="3:12" x14ac:dyDescent="0.35">
      <c r="C92" s="211" t="s">
        <v>156</v>
      </c>
      <c r="D92" s="212" t="s">
        <v>60</v>
      </c>
      <c r="E92" s="212">
        <v>0</v>
      </c>
      <c r="F92" s="212">
        <v>0</v>
      </c>
      <c r="G92" s="212">
        <v>12000000</v>
      </c>
      <c r="H92" s="212">
        <v>33100000</v>
      </c>
      <c r="I92" s="212">
        <v>0</v>
      </c>
      <c r="J92" s="213">
        <f t="shared" si="4"/>
        <v>45100000</v>
      </c>
      <c r="L92" s="112"/>
    </row>
    <row r="93" spans="3:12" x14ac:dyDescent="0.35">
      <c r="C93" s="211" t="s">
        <v>157</v>
      </c>
      <c r="D93" s="212" t="s">
        <v>60</v>
      </c>
      <c r="E93" s="212">
        <f>4472000</f>
        <v>4472000</v>
      </c>
      <c r="F93" s="212">
        <v>0</v>
      </c>
      <c r="G93" s="212">
        <v>300000</v>
      </c>
      <c r="H93" s="212">
        <v>2300000</v>
      </c>
      <c r="I93" s="212">
        <v>7800000</v>
      </c>
      <c r="J93" s="213">
        <f t="shared" si="4"/>
        <v>14872000</v>
      </c>
      <c r="L93" s="112"/>
    </row>
    <row r="94" spans="3:12" x14ac:dyDescent="0.35">
      <c r="C94" s="211" t="s">
        <v>157</v>
      </c>
      <c r="D94" s="212" t="s">
        <v>60</v>
      </c>
      <c r="E94" s="212">
        <v>5528000</v>
      </c>
      <c r="F94" s="212">
        <v>0</v>
      </c>
      <c r="G94" s="212">
        <v>0</v>
      </c>
      <c r="H94" s="212">
        <v>0</v>
      </c>
      <c r="I94" s="212">
        <v>-5528000</v>
      </c>
      <c r="J94" s="213">
        <f t="shared" si="4"/>
        <v>0</v>
      </c>
      <c r="L94" s="112"/>
    </row>
    <row r="95" spans="3:12" x14ac:dyDescent="0.35">
      <c r="C95" s="211" t="s">
        <v>245</v>
      </c>
      <c r="D95" s="212" t="s">
        <v>60</v>
      </c>
      <c r="E95" s="212">
        <v>0</v>
      </c>
      <c r="F95" s="212">
        <v>0</v>
      </c>
      <c r="G95" s="212">
        <v>0</v>
      </c>
      <c r="H95" s="212">
        <v>0</v>
      </c>
      <c r="I95" s="212">
        <v>6000000</v>
      </c>
      <c r="J95" s="213">
        <f t="shared" si="4"/>
        <v>6000000</v>
      </c>
      <c r="L95" s="112"/>
    </row>
    <row r="96" spans="3:12" x14ac:dyDescent="0.35">
      <c r="C96" s="211" t="s">
        <v>238</v>
      </c>
      <c r="D96" s="212" t="s">
        <v>60</v>
      </c>
      <c r="E96" s="212">
        <v>9128000</v>
      </c>
      <c r="F96" s="212">
        <v>0</v>
      </c>
      <c r="G96" s="212">
        <v>0</v>
      </c>
      <c r="H96" s="212">
        <v>0</v>
      </c>
      <c r="I96" s="212">
        <v>5200000</v>
      </c>
      <c r="J96" s="213">
        <f t="shared" si="4"/>
        <v>14328000</v>
      </c>
      <c r="L96" s="112"/>
    </row>
    <row r="97" spans="3:10" x14ac:dyDescent="0.35">
      <c r="C97" s="13" t="s">
        <v>247</v>
      </c>
      <c r="D97" s="212" t="s">
        <v>60</v>
      </c>
      <c r="E97" s="2">
        <f>13200000+1100000</f>
        <v>14300000</v>
      </c>
      <c r="F97" s="2">
        <v>0</v>
      </c>
      <c r="G97" s="2">
        <v>5000000</v>
      </c>
      <c r="H97" s="2">
        <f>15300000+1300000+17500000</f>
        <v>34100000</v>
      </c>
      <c r="I97" s="2">
        <v>0</v>
      </c>
      <c r="J97" s="213">
        <f t="shared" si="4"/>
        <v>53400000</v>
      </c>
    </row>
    <row r="98" spans="3:10" x14ac:dyDescent="0.35">
      <c r="C98" s="13" t="s">
        <v>255</v>
      </c>
      <c r="D98" s="212" t="s">
        <v>60</v>
      </c>
      <c r="E98" s="2">
        <v>0</v>
      </c>
      <c r="F98" s="2">
        <v>0</v>
      </c>
      <c r="G98" s="2">
        <v>0</v>
      </c>
      <c r="H98" s="2">
        <v>-14000000</v>
      </c>
      <c r="I98" s="2">
        <v>0</v>
      </c>
      <c r="J98" s="213">
        <f t="shared" ref="J98" si="5">+SUM(E98:I98)</f>
        <v>-14000000</v>
      </c>
    </row>
    <row r="99" spans="3:10" x14ac:dyDescent="0.35">
      <c r="C99" s="13" t="s">
        <v>263</v>
      </c>
      <c r="D99" s="212" t="s">
        <v>60</v>
      </c>
      <c r="E99" s="2">
        <v>0</v>
      </c>
      <c r="F99" s="2">
        <v>0</v>
      </c>
      <c r="G99" s="2">
        <v>0</v>
      </c>
      <c r="H99" s="2">
        <v>-3500000</v>
      </c>
      <c r="I99" s="2">
        <v>0</v>
      </c>
      <c r="J99" s="213">
        <f t="shared" ref="J99:J107" si="6">+SUM(E99:I99)</f>
        <v>-3500000</v>
      </c>
    </row>
    <row r="100" spans="3:10" x14ac:dyDescent="0.35">
      <c r="C100" s="13" t="s">
        <v>321</v>
      </c>
      <c r="D100" s="212" t="s">
        <v>60</v>
      </c>
      <c r="E100" s="2">
        <v>0</v>
      </c>
      <c r="F100" s="2"/>
      <c r="G100" s="2">
        <v>0</v>
      </c>
      <c r="H100" s="2">
        <v>0</v>
      </c>
      <c r="I100" s="2">
        <v>2000000</v>
      </c>
      <c r="J100" s="213">
        <f t="shared" ref="J100" si="7">+SUM(E100:I100)</f>
        <v>2000000</v>
      </c>
    </row>
    <row r="101" spans="3:10" x14ac:dyDescent="0.35">
      <c r="C101" s="13" t="s">
        <v>315</v>
      </c>
      <c r="D101" s="212" t="s">
        <v>60</v>
      </c>
      <c r="E101" s="2">
        <v>0</v>
      </c>
      <c r="F101" s="2"/>
      <c r="G101" s="2">
        <v>20000000</v>
      </c>
      <c r="H101" s="2">
        <v>27000000</v>
      </c>
      <c r="I101" s="2">
        <v>12861000</v>
      </c>
      <c r="J101" s="213">
        <f t="shared" si="6"/>
        <v>59861000</v>
      </c>
    </row>
    <row r="102" spans="3:10" x14ac:dyDescent="0.35">
      <c r="C102" s="13" t="s">
        <v>316</v>
      </c>
      <c r="D102" s="212" t="s">
        <v>60</v>
      </c>
      <c r="E102" s="2">
        <v>40000000</v>
      </c>
      <c r="F102" s="2">
        <v>2000000</v>
      </c>
      <c r="G102" s="2">
        <v>10000000</v>
      </c>
      <c r="H102" s="2">
        <v>35000000</v>
      </c>
      <c r="I102" s="2">
        <v>30000000</v>
      </c>
      <c r="J102" s="213">
        <f t="shared" si="6"/>
        <v>117000000</v>
      </c>
    </row>
    <row r="103" spans="3:10" x14ac:dyDescent="0.35">
      <c r="C103" s="13" t="s">
        <v>319</v>
      </c>
      <c r="D103" s="212" t="s">
        <v>60</v>
      </c>
      <c r="E103" s="2">
        <v>0</v>
      </c>
      <c r="F103" s="2">
        <v>3000000</v>
      </c>
      <c r="G103" s="2">
        <v>4900000</v>
      </c>
      <c r="H103" s="2">
        <v>0</v>
      </c>
      <c r="I103" s="2">
        <v>0</v>
      </c>
      <c r="J103" s="213">
        <f t="shared" si="6"/>
        <v>7900000</v>
      </c>
    </row>
    <row r="104" spans="3:10" x14ac:dyDescent="0.35">
      <c r="C104" s="13" t="s">
        <v>317</v>
      </c>
      <c r="D104" s="212" t="s">
        <v>60</v>
      </c>
      <c r="E104" s="2"/>
      <c r="F104" s="2">
        <v>0</v>
      </c>
      <c r="G104" s="2">
        <v>0</v>
      </c>
      <c r="H104" s="2">
        <v>21000000</v>
      </c>
      <c r="I104" s="2">
        <v>0</v>
      </c>
      <c r="J104" s="213">
        <f t="shared" si="6"/>
        <v>21000000</v>
      </c>
    </row>
    <row r="105" spans="3:10" x14ac:dyDescent="0.35">
      <c r="C105" s="13" t="s">
        <v>322</v>
      </c>
      <c r="D105" s="212" t="s">
        <v>60</v>
      </c>
      <c r="E105" s="2">
        <v>34200000</v>
      </c>
      <c r="F105" s="2">
        <v>0</v>
      </c>
      <c r="G105" s="2">
        <v>0</v>
      </c>
      <c r="H105" s="2">
        <v>0</v>
      </c>
      <c r="I105" s="2">
        <v>0</v>
      </c>
      <c r="J105" s="213">
        <f t="shared" ref="J105" si="8">+SUM(E105:I105)</f>
        <v>34200000</v>
      </c>
    </row>
    <row r="106" spans="3:10" x14ac:dyDescent="0.35">
      <c r="C106" s="13" t="s">
        <v>320</v>
      </c>
      <c r="D106" s="212" t="s">
        <v>60</v>
      </c>
      <c r="E106" s="2">
        <v>0</v>
      </c>
      <c r="F106" s="2">
        <v>0</v>
      </c>
      <c r="G106" s="2">
        <v>2500000</v>
      </c>
      <c r="H106" s="2">
        <v>0</v>
      </c>
      <c r="I106" s="2">
        <v>0</v>
      </c>
      <c r="J106" s="213">
        <f t="shared" si="6"/>
        <v>2500000</v>
      </c>
    </row>
    <row r="107" spans="3:10" x14ac:dyDescent="0.35">
      <c r="C107" s="13" t="s">
        <v>318</v>
      </c>
      <c r="D107" s="212" t="s">
        <v>60</v>
      </c>
      <c r="E107" s="2">
        <v>0</v>
      </c>
      <c r="F107" s="2">
        <v>4000000</v>
      </c>
      <c r="G107" s="2">
        <v>0</v>
      </c>
      <c r="H107" s="2">
        <v>22000000</v>
      </c>
      <c r="I107" s="2">
        <v>0</v>
      </c>
      <c r="J107" s="213">
        <f t="shared" si="6"/>
        <v>26000000</v>
      </c>
    </row>
    <row r="108" spans="3:10" s="109" customFormat="1" ht="13.5" customHeight="1" x14ac:dyDescent="0.35">
      <c r="C108" s="314" t="s">
        <v>262</v>
      </c>
      <c r="D108" s="315"/>
      <c r="E108" s="22"/>
      <c r="F108" s="22">
        <v>19226160</v>
      </c>
      <c r="G108" s="22"/>
      <c r="H108" s="22">
        <v>-19226160</v>
      </c>
      <c r="I108" s="22">
        <v>0</v>
      </c>
      <c r="J108" s="316">
        <f>+SUM(E108:I108)</f>
        <v>0</v>
      </c>
    </row>
    <row r="109" spans="3:10" ht="15" thickBot="1" x14ac:dyDescent="0.4">
      <c r="C109" s="71"/>
      <c r="D109" s="72"/>
      <c r="E109" s="6"/>
      <c r="F109" s="6"/>
      <c r="G109" s="6"/>
      <c r="H109" s="6"/>
      <c r="I109" s="6"/>
      <c r="J109" s="128"/>
    </row>
    <row r="110" spans="3:10" s="24" customFormat="1" ht="15" thickBot="1" x14ac:dyDescent="0.4">
      <c r="C110" s="309" t="s">
        <v>3</v>
      </c>
      <c r="D110" s="69"/>
      <c r="E110" s="74">
        <f t="shared" ref="E110:J110" si="9">SUM(E87:E109)</f>
        <v>129100000</v>
      </c>
      <c r="F110" s="74">
        <f t="shared" si="9"/>
        <v>31226160</v>
      </c>
      <c r="G110" s="74">
        <f t="shared" si="9"/>
        <v>62700000</v>
      </c>
      <c r="H110" s="74">
        <f t="shared" si="9"/>
        <v>160273840</v>
      </c>
      <c r="I110" s="74">
        <f t="shared" si="9"/>
        <v>73861000</v>
      </c>
      <c r="J110" s="129">
        <f t="shared" si="9"/>
        <v>457161000</v>
      </c>
    </row>
    <row r="111" spans="3:10" ht="15" thickBot="1" x14ac:dyDescent="0.4">
      <c r="C111" s="308" t="s">
        <v>113</v>
      </c>
      <c r="D111" s="55"/>
      <c r="E111" s="56">
        <f>+F83*0.28</f>
        <v>124904640.00000001</v>
      </c>
      <c r="F111" s="56">
        <f>F83*0.07</f>
        <v>31226160.000000004</v>
      </c>
      <c r="G111" s="56">
        <f>F83*0.14</f>
        <v>62452320.000000007</v>
      </c>
      <c r="H111" s="56">
        <f>F83*0.35</f>
        <v>156130800</v>
      </c>
      <c r="I111" s="56">
        <f>F83*0.16</f>
        <v>71374080</v>
      </c>
      <c r="J111" s="233">
        <f>SUM(E111:I111)</f>
        <v>446088000</v>
      </c>
    </row>
    <row r="112" spans="3:10" ht="16" thickBot="1" x14ac:dyDescent="0.4">
      <c r="C112" s="282" t="s">
        <v>337</v>
      </c>
      <c r="D112" s="272"/>
      <c r="E112" s="283">
        <f>E110-E111</f>
        <v>4195359.9999999851</v>
      </c>
      <c r="F112" s="283">
        <f t="shared" ref="F112:J112" si="10">F110-F111</f>
        <v>0</v>
      </c>
      <c r="G112" s="283">
        <f t="shared" si="10"/>
        <v>247679.99999999255</v>
      </c>
      <c r="H112" s="283">
        <f t="shared" si="10"/>
        <v>4143040</v>
      </c>
      <c r="I112" s="283">
        <f t="shared" si="10"/>
        <v>2486920</v>
      </c>
      <c r="J112" s="283">
        <f t="shared" si="10"/>
        <v>11073000</v>
      </c>
    </row>
    <row r="116" spans="3:10" ht="19" thickBot="1" x14ac:dyDescent="0.5">
      <c r="C116" s="318" t="s">
        <v>325</v>
      </c>
      <c r="D116" s="318"/>
      <c r="E116" s="318"/>
      <c r="F116" s="318"/>
      <c r="G116" s="318"/>
      <c r="H116" s="318"/>
      <c r="I116" s="318"/>
      <c r="J116" s="318"/>
    </row>
    <row r="117" spans="3:10" ht="16" thickBot="1" x14ac:dyDescent="0.4">
      <c r="C117" s="121" t="s">
        <v>1</v>
      </c>
      <c r="D117" s="122" t="s">
        <v>55</v>
      </c>
      <c r="E117" s="123" t="s">
        <v>41</v>
      </c>
      <c r="F117" s="123" t="s">
        <v>0</v>
      </c>
      <c r="G117" s="123" t="s">
        <v>8</v>
      </c>
      <c r="H117" s="124" t="s">
        <v>36</v>
      </c>
      <c r="I117" s="125" t="s">
        <v>37</v>
      </c>
      <c r="J117" s="126" t="s">
        <v>3</v>
      </c>
    </row>
    <row r="118" spans="3:10" ht="15.5" x14ac:dyDescent="0.35">
      <c r="C118" s="310" t="s">
        <v>323</v>
      </c>
      <c r="D118" s="311"/>
      <c r="E118" s="311">
        <f>E112</f>
        <v>4195359.9999999851</v>
      </c>
      <c r="F118" s="311">
        <f t="shared" ref="F118:I118" si="11">F112</f>
        <v>0</v>
      </c>
      <c r="G118" s="311">
        <f t="shared" si="11"/>
        <v>247679.99999999255</v>
      </c>
      <c r="H118" s="311">
        <f t="shared" si="11"/>
        <v>4143040</v>
      </c>
      <c r="I118" s="311">
        <f t="shared" si="11"/>
        <v>2486920</v>
      </c>
      <c r="J118" s="312"/>
    </row>
    <row r="119" spans="3:10" x14ac:dyDescent="0.35">
      <c r="C119" s="13" t="s">
        <v>317</v>
      </c>
      <c r="D119" s="23" t="s">
        <v>60</v>
      </c>
      <c r="E119" s="2">
        <v>977940</v>
      </c>
      <c r="F119" s="2">
        <v>0</v>
      </c>
      <c r="G119" s="2">
        <v>0</v>
      </c>
      <c r="H119" s="2">
        <v>1125090</v>
      </c>
      <c r="I119" s="2">
        <v>0</v>
      </c>
      <c r="J119" s="313"/>
    </row>
    <row r="120" spans="3:10" x14ac:dyDescent="0.35">
      <c r="C120" s="13" t="s">
        <v>320</v>
      </c>
      <c r="D120" s="23" t="s">
        <v>60</v>
      </c>
      <c r="E120" s="2">
        <v>0</v>
      </c>
      <c r="F120" s="2">
        <v>0</v>
      </c>
      <c r="G120" s="2">
        <v>488970</v>
      </c>
      <c r="H120" s="2">
        <v>0</v>
      </c>
      <c r="I120" s="2">
        <v>0</v>
      </c>
      <c r="J120" s="313"/>
    </row>
    <row r="121" spans="3:10" x14ac:dyDescent="0.35">
      <c r="C121" s="13" t="s">
        <v>328</v>
      </c>
      <c r="D121" s="23" t="s">
        <v>60</v>
      </c>
      <c r="E121" s="2">
        <v>0</v>
      </c>
      <c r="F121" s="2">
        <v>0</v>
      </c>
      <c r="G121" s="2">
        <v>0</v>
      </c>
      <c r="H121" s="2">
        <v>1500000</v>
      </c>
      <c r="I121" s="2">
        <v>0</v>
      </c>
      <c r="J121" s="313"/>
    </row>
    <row r="122" spans="3:10" x14ac:dyDescent="0.35">
      <c r="C122" s="13" t="s">
        <v>329</v>
      </c>
      <c r="D122" s="23" t="s">
        <v>60</v>
      </c>
      <c r="E122" s="2">
        <v>0</v>
      </c>
      <c r="F122" s="2">
        <v>0</v>
      </c>
      <c r="G122" s="2">
        <v>0</v>
      </c>
      <c r="H122" s="2">
        <v>341820</v>
      </c>
      <c r="I122" s="2">
        <v>0</v>
      </c>
      <c r="J122" s="313"/>
    </row>
    <row r="123" spans="3:10" x14ac:dyDescent="0.35">
      <c r="C123" s="13" t="s">
        <v>334</v>
      </c>
      <c r="D123" s="23" t="s">
        <v>60</v>
      </c>
      <c r="E123" s="2">
        <v>1400000</v>
      </c>
      <c r="F123" s="2">
        <v>0</v>
      </c>
      <c r="G123" s="2">
        <v>0</v>
      </c>
      <c r="H123" s="2">
        <v>0</v>
      </c>
      <c r="I123" s="2">
        <v>0</v>
      </c>
      <c r="J123" s="313"/>
    </row>
    <row r="124" spans="3:10" x14ac:dyDescent="0.35">
      <c r="C124" s="13" t="s">
        <v>330</v>
      </c>
      <c r="D124" s="23" t="s">
        <v>60</v>
      </c>
      <c r="E124" s="2">
        <v>0</v>
      </c>
      <c r="F124" s="2">
        <v>0</v>
      </c>
      <c r="G124" s="2">
        <v>0</v>
      </c>
      <c r="H124" s="2">
        <v>1400000</v>
      </c>
      <c r="I124" s="2">
        <v>0</v>
      </c>
      <c r="J124" s="313"/>
    </row>
    <row r="125" spans="3:10" x14ac:dyDescent="0.35">
      <c r="C125" s="13" t="s">
        <v>324</v>
      </c>
      <c r="D125" s="23" t="s">
        <v>60</v>
      </c>
      <c r="E125" s="2">
        <v>0</v>
      </c>
      <c r="F125" s="2">
        <v>0</v>
      </c>
      <c r="G125" s="2">
        <v>0</v>
      </c>
      <c r="H125" s="2">
        <v>0</v>
      </c>
      <c r="I125" s="2">
        <v>500000</v>
      </c>
      <c r="J125" s="127"/>
    </row>
    <row r="126" spans="3:10" x14ac:dyDescent="0.35">
      <c r="C126" s="13" t="s">
        <v>326</v>
      </c>
      <c r="D126" s="23" t="s">
        <v>60</v>
      </c>
      <c r="E126" s="2">
        <v>0</v>
      </c>
      <c r="F126" s="2">
        <v>0</v>
      </c>
      <c r="G126" s="2">
        <v>0</v>
      </c>
      <c r="H126" s="2">
        <v>0</v>
      </c>
      <c r="I126" s="2">
        <v>839000</v>
      </c>
      <c r="J126" s="127"/>
    </row>
    <row r="127" spans="3:10" x14ac:dyDescent="0.35">
      <c r="C127" s="13" t="s">
        <v>331</v>
      </c>
      <c r="D127" s="23" t="s">
        <v>60</v>
      </c>
      <c r="E127" s="2">
        <v>0</v>
      </c>
      <c r="F127" s="2">
        <v>0</v>
      </c>
      <c r="G127" s="2">
        <v>0</v>
      </c>
      <c r="H127" s="2">
        <v>3000000</v>
      </c>
      <c r="I127" s="2">
        <v>0</v>
      </c>
      <c r="J127" s="127"/>
    </row>
    <row r="128" spans="3:10" x14ac:dyDescent="0.35">
      <c r="C128" s="13" t="s">
        <v>327</v>
      </c>
      <c r="D128" s="23" t="s">
        <v>60</v>
      </c>
      <c r="E128" s="2">
        <v>1400000</v>
      </c>
      <c r="F128" s="2">
        <v>0</v>
      </c>
      <c r="G128" s="2">
        <v>0</v>
      </c>
      <c r="H128" s="2">
        <v>0</v>
      </c>
      <c r="I128" s="2">
        <v>0</v>
      </c>
      <c r="J128" s="127"/>
    </row>
    <row r="129" spans="3:10" x14ac:dyDescent="0.35">
      <c r="C129" s="13" t="s">
        <v>327</v>
      </c>
      <c r="D129" s="23" t="s">
        <v>60</v>
      </c>
      <c r="E129" s="2">
        <v>0</v>
      </c>
      <c r="F129" s="2">
        <v>0</v>
      </c>
      <c r="G129" s="2">
        <v>0</v>
      </c>
      <c r="H129" s="2">
        <v>0</v>
      </c>
      <c r="I129" s="2">
        <v>1600000</v>
      </c>
      <c r="J129" s="127"/>
    </row>
    <row r="130" spans="3:10" x14ac:dyDescent="0.35">
      <c r="C130" s="13" t="s">
        <v>332</v>
      </c>
      <c r="D130" s="23" t="s">
        <v>60</v>
      </c>
      <c r="E130" s="2">
        <v>0</v>
      </c>
      <c r="F130" s="2">
        <v>0</v>
      </c>
      <c r="G130" s="2">
        <v>0</v>
      </c>
      <c r="H130" s="2">
        <v>1400000</v>
      </c>
      <c r="I130" s="2">
        <v>0</v>
      </c>
      <c r="J130" s="127"/>
    </row>
    <row r="131" spans="3:10" x14ac:dyDescent="0.35">
      <c r="C131" s="13" t="s">
        <v>335</v>
      </c>
      <c r="D131" s="23" t="s">
        <v>60</v>
      </c>
      <c r="E131" s="2">
        <v>2800000</v>
      </c>
      <c r="F131" s="2">
        <v>0</v>
      </c>
      <c r="G131" s="2">
        <v>0</v>
      </c>
      <c r="H131" s="2">
        <v>0</v>
      </c>
      <c r="I131" s="2">
        <v>0</v>
      </c>
      <c r="J131" s="127"/>
    </row>
    <row r="132" spans="3:10" x14ac:dyDescent="0.35">
      <c r="C132" s="13" t="s">
        <v>333</v>
      </c>
      <c r="D132" s="23" t="s">
        <v>60</v>
      </c>
      <c r="E132" s="2">
        <v>0</v>
      </c>
      <c r="F132" s="2">
        <v>0</v>
      </c>
      <c r="G132" s="2">
        <v>0</v>
      </c>
      <c r="H132" s="2">
        <v>1750000</v>
      </c>
      <c r="I132" s="2">
        <v>0</v>
      </c>
      <c r="J132" s="127"/>
    </row>
    <row r="133" spans="3:10" x14ac:dyDescent="0.35">
      <c r="C133" s="13"/>
      <c r="D133" s="23" t="s">
        <v>60</v>
      </c>
      <c r="E133" s="2"/>
      <c r="F133" s="2"/>
      <c r="G133" s="2"/>
      <c r="H133" s="2"/>
      <c r="I133" s="2"/>
      <c r="J133" s="127"/>
    </row>
    <row r="134" spans="3:10" x14ac:dyDescent="0.35">
      <c r="C134" s="13"/>
      <c r="D134" s="23" t="s">
        <v>60</v>
      </c>
      <c r="E134" s="2"/>
      <c r="F134" s="2"/>
      <c r="G134" s="2"/>
      <c r="H134" s="2"/>
      <c r="I134" s="2"/>
      <c r="J134" s="127"/>
    </row>
    <row r="135" spans="3:10" x14ac:dyDescent="0.35">
      <c r="C135" s="13"/>
      <c r="D135" s="23" t="s">
        <v>60</v>
      </c>
      <c r="E135" s="2"/>
      <c r="F135" s="2"/>
      <c r="G135" s="2"/>
      <c r="H135" s="2"/>
      <c r="I135" s="2"/>
      <c r="J135" s="127"/>
    </row>
    <row r="136" spans="3:10" ht="15" thickBot="1" x14ac:dyDescent="0.4">
      <c r="C136" s="14"/>
      <c r="D136" s="317" t="s">
        <v>60</v>
      </c>
      <c r="E136" s="6"/>
      <c r="F136" s="6"/>
      <c r="G136" s="6"/>
      <c r="H136" s="6"/>
      <c r="I136" s="6"/>
      <c r="J136" s="128"/>
    </row>
    <row r="137" spans="3:10" s="24" customFormat="1" ht="15" thickBot="1" x14ac:dyDescent="0.4">
      <c r="C137" s="173" t="s">
        <v>336</v>
      </c>
      <c r="D137" s="69"/>
      <c r="E137" s="74">
        <f>SUM(E118:E136)</f>
        <v>10773299.999999985</v>
      </c>
      <c r="F137" s="74">
        <f t="shared" ref="F137:I137" si="12">SUM(F118:F136)</f>
        <v>0</v>
      </c>
      <c r="G137" s="74">
        <f t="shared" si="12"/>
        <v>736649.99999999255</v>
      </c>
      <c r="H137" s="74">
        <f t="shared" si="12"/>
        <v>14659950</v>
      </c>
      <c r="I137" s="74">
        <f t="shared" si="12"/>
        <v>5425920</v>
      </c>
      <c r="J137" s="129"/>
    </row>
    <row r="140" spans="3:10" ht="15" thickBot="1" x14ac:dyDescent="0.4"/>
    <row r="141" spans="3:10" ht="16" thickBot="1" x14ac:dyDescent="0.4">
      <c r="C141" s="354" t="s">
        <v>91</v>
      </c>
      <c r="D141" s="355"/>
      <c r="E141" s="355"/>
      <c r="F141" s="355"/>
      <c r="G141" s="355"/>
      <c r="H141" s="355"/>
      <c r="I141" s="355"/>
      <c r="J141" s="356"/>
    </row>
    <row r="142" spans="3:10" ht="15" thickBot="1" x14ac:dyDescent="0.4">
      <c r="C142" s="130" t="s">
        <v>90</v>
      </c>
      <c r="D142" s="131"/>
      <c r="E142" s="132">
        <f>+F31*28%</f>
        <v>168892080.00000003</v>
      </c>
      <c r="F142" s="132">
        <f>F31*14%</f>
        <v>84446040.000000015</v>
      </c>
      <c r="G142" s="132">
        <f>+F31*14%</f>
        <v>84446040.000000015</v>
      </c>
      <c r="H142" s="132">
        <f>+F31*28%</f>
        <v>168892080.00000003</v>
      </c>
      <c r="I142" s="132">
        <f>+F31*16%</f>
        <v>96509760</v>
      </c>
      <c r="J142" s="159">
        <f>+SUM(E142:I142)</f>
        <v>603186000.00000012</v>
      </c>
    </row>
    <row r="143" spans="3:10" ht="15" thickBot="1" x14ac:dyDescent="0.4">
      <c r="C143" s="130" t="s">
        <v>89</v>
      </c>
      <c r="D143" s="131"/>
      <c r="E143" s="132">
        <f t="shared" ref="E143:J143" si="13">E72</f>
        <v>168892000</v>
      </c>
      <c r="F143" s="132">
        <f t="shared" si="13"/>
        <v>84446040</v>
      </c>
      <c r="G143" s="132">
        <f t="shared" si="13"/>
        <v>84446040</v>
      </c>
      <c r="H143" s="132">
        <f t="shared" si="13"/>
        <v>168891960</v>
      </c>
      <c r="I143" s="132">
        <f t="shared" si="13"/>
        <v>96510000</v>
      </c>
      <c r="J143" s="159">
        <f t="shared" si="13"/>
        <v>603186040</v>
      </c>
    </row>
    <row r="144" spans="3:10" ht="16" thickBot="1" x14ac:dyDescent="0.4">
      <c r="C144" s="130"/>
      <c r="D144" s="131"/>
      <c r="E144" s="132"/>
      <c r="F144" s="132"/>
      <c r="G144" s="132"/>
      <c r="H144" s="132"/>
      <c r="I144" s="132"/>
      <c r="J144" s="133"/>
    </row>
    <row r="145" spans="3:10" s="24" customFormat="1" ht="16" thickBot="1" x14ac:dyDescent="0.4">
      <c r="C145" s="114" t="s">
        <v>93</v>
      </c>
      <c r="D145" s="160"/>
      <c r="E145" s="115">
        <f>E142-E143</f>
        <v>80.000000029802322</v>
      </c>
      <c r="F145" s="115">
        <f t="shared" ref="F145:J145" si="14">F142-F143</f>
        <v>0</v>
      </c>
      <c r="G145" s="115">
        <f t="shared" si="14"/>
        <v>0</v>
      </c>
      <c r="H145" s="115">
        <f t="shared" si="14"/>
        <v>120.00000002980232</v>
      </c>
      <c r="I145" s="115">
        <f t="shared" si="14"/>
        <v>-240</v>
      </c>
      <c r="J145" s="307">
        <f t="shared" si="14"/>
        <v>-39.99999988079071</v>
      </c>
    </row>
    <row r="146" spans="3:10" ht="15" thickBot="1" x14ac:dyDescent="0.4">
      <c r="C146" s="168"/>
      <c r="J146" s="169"/>
    </row>
    <row r="147" spans="3:10" ht="16" thickBot="1" x14ac:dyDescent="0.4">
      <c r="C147" s="357" t="s">
        <v>92</v>
      </c>
      <c r="D147" s="358"/>
      <c r="E147" s="358"/>
      <c r="F147" s="358"/>
      <c r="G147" s="358"/>
      <c r="H147" s="358"/>
      <c r="I147" s="358"/>
      <c r="J147" s="359"/>
    </row>
    <row r="148" spans="3:10" ht="16" thickBot="1" x14ac:dyDescent="0.4">
      <c r="C148" s="130" t="s">
        <v>95</v>
      </c>
      <c r="D148" s="131"/>
      <c r="E148" s="132">
        <f>+F30*28%</f>
        <v>114800000.00000001</v>
      </c>
      <c r="F148" s="132">
        <f>+F30*14%</f>
        <v>57400000.000000007</v>
      </c>
      <c r="G148" s="132">
        <f>+F30*14%</f>
        <v>57400000.000000007</v>
      </c>
      <c r="H148" s="132">
        <f>+F30*28%</f>
        <v>114800000.00000001</v>
      </c>
      <c r="I148" s="132">
        <f>+F30*16%</f>
        <v>65600000</v>
      </c>
      <c r="J148" s="158">
        <f>+SUM(E148:I148)</f>
        <v>410000000.00000006</v>
      </c>
    </row>
    <row r="149" spans="3:10" ht="16" thickBot="1" x14ac:dyDescent="0.4">
      <c r="C149" s="130" t="s">
        <v>89</v>
      </c>
      <c r="D149" s="131"/>
      <c r="E149" s="132">
        <f>E110</f>
        <v>129100000</v>
      </c>
      <c r="F149" s="132">
        <f>F110</f>
        <v>31226160</v>
      </c>
      <c r="G149" s="132">
        <f>G110</f>
        <v>62700000</v>
      </c>
      <c r="H149" s="132">
        <f>H110</f>
        <v>160273840</v>
      </c>
      <c r="I149" s="132">
        <f>I110</f>
        <v>73861000</v>
      </c>
      <c r="J149" s="158">
        <f>+SUM(E149:I149)</f>
        <v>457161000</v>
      </c>
    </row>
    <row r="150" spans="3:10" ht="16" thickBot="1" x14ac:dyDescent="0.4">
      <c r="C150" s="130"/>
      <c r="D150" s="131"/>
      <c r="E150" s="132"/>
      <c r="F150" s="132"/>
      <c r="G150" s="132"/>
      <c r="H150" s="132"/>
      <c r="I150" s="132"/>
      <c r="J150" s="158"/>
    </row>
    <row r="151" spans="3:10" s="24" customFormat="1" ht="16" thickBot="1" x14ac:dyDescent="0.4">
      <c r="C151" s="114" t="s">
        <v>93</v>
      </c>
      <c r="D151" s="160"/>
      <c r="E151" s="115">
        <f>E148-E149</f>
        <v>-14299999.999999985</v>
      </c>
      <c r="F151" s="115">
        <f t="shared" ref="F151:J151" si="15">F148-F149</f>
        <v>26173840.000000007</v>
      </c>
      <c r="G151" s="115">
        <f t="shared" si="15"/>
        <v>-5299999.9999999925</v>
      </c>
      <c r="H151" s="115">
        <f t="shared" si="15"/>
        <v>-45473839.999999985</v>
      </c>
      <c r="I151" s="115">
        <f t="shared" si="15"/>
        <v>-8261000</v>
      </c>
      <c r="J151" s="157">
        <f t="shared" si="15"/>
        <v>-47160999.99999994</v>
      </c>
    </row>
    <row r="152" spans="3:10" ht="15" thickBot="1" x14ac:dyDescent="0.4">
      <c r="C152" s="134"/>
      <c r="J152" s="135"/>
    </row>
    <row r="153" spans="3:10" ht="15" thickBot="1" x14ac:dyDescent="0.4">
      <c r="C153" s="165" t="s">
        <v>94</v>
      </c>
      <c r="D153" s="166"/>
      <c r="E153" s="167">
        <f>+E151+E145</f>
        <v>-14299919.999999955</v>
      </c>
      <c r="F153" s="167">
        <f t="shared" ref="F153:J153" si="16">+F151+F145</f>
        <v>26173840.000000007</v>
      </c>
      <c r="G153" s="167">
        <f t="shared" si="16"/>
        <v>-5299999.9999999925</v>
      </c>
      <c r="H153" s="167">
        <f t="shared" si="16"/>
        <v>-45473719.999999955</v>
      </c>
      <c r="I153" s="167">
        <f t="shared" si="16"/>
        <v>-8261240</v>
      </c>
      <c r="J153" s="170">
        <f t="shared" si="16"/>
        <v>-47161039.999999821</v>
      </c>
    </row>
    <row r="154" spans="3:10" ht="15" thickBot="1" x14ac:dyDescent="0.4"/>
    <row r="155" spans="3:10" s="78" customFormat="1" ht="36" customHeight="1" thickBot="1" x14ac:dyDescent="0.4">
      <c r="C155" s="363" t="s">
        <v>39</v>
      </c>
      <c r="D155" s="364"/>
      <c r="E155" s="118">
        <f>+E72/J72*100</f>
        <v>27.999984880286689</v>
      </c>
      <c r="F155" s="118">
        <f>+F72/J72*100</f>
        <v>13.99999907159655</v>
      </c>
      <c r="G155" s="118">
        <f>+G72/J72*100</f>
        <v>13.99999907159655</v>
      </c>
      <c r="H155" s="118">
        <f>+H72/J72*100</f>
        <v>27.999978248833479</v>
      </c>
      <c r="I155" s="118">
        <f>+I72/J72*100</f>
        <v>16.000038727686736</v>
      </c>
      <c r="J155" s="119">
        <f>+J72/J72*100</f>
        <v>100</v>
      </c>
    </row>
    <row r="157" spans="3:10" s="161" customFormat="1" x14ac:dyDescent="0.35">
      <c r="E157" s="162"/>
      <c r="F157" s="162"/>
      <c r="G157" s="162"/>
      <c r="H157" s="162"/>
      <c r="I157" s="162"/>
      <c r="J157" s="163"/>
    </row>
    <row r="158" spans="3:10" ht="15" thickBot="1" x14ac:dyDescent="0.4"/>
    <row r="159" spans="3:10" ht="15" thickBot="1" x14ac:dyDescent="0.4">
      <c r="D159" s="330" t="s">
        <v>25</v>
      </c>
      <c r="E159" s="331"/>
      <c r="F159" s="74" t="s">
        <v>68</v>
      </c>
      <c r="G159" s="74" t="s">
        <v>82</v>
      </c>
      <c r="H159" s="129" t="s">
        <v>83</v>
      </c>
    </row>
    <row r="160" spans="3:10" x14ac:dyDescent="0.35">
      <c r="D160" s="332" t="s">
        <v>84</v>
      </c>
      <c r="E160" s="333"/>
      <c r="F160" s="3">
        <v>4100</v>
      </c>
      <c r="G160" s="3">
        <f>J215</f>
        <v>1456</v>
      </c>
      <c r="H160" s="155">
        <f>F160-G160</f>
        <v>2644</v>
      </c>
    </row>
    <row r="161" spans="3:10" x14ac:dyDescent="0.35">
      <c r="D161" s="328" t="s">
        <v>85</v>
      </c>
      <c r="E161" s="329"/>
      <c r="F161" s="2">
        <v>6031.86</v>
      </c>
      <c r="G161" s="2">
        <f>J196</f>
        <v>6031.8603999999996</v>
      </c>
      <c r="H161" s="154">
        <f>F161-G161</f>
        <v>-3.9999999989959178E-4</v>
      </c>
    </row>
    <row r="162" spans="3:10" ht="15" thickBot="1" x14ac:dyDescent="0.4">
      <c r="D162" s="334"/>
      <c r="E162" s="335"/>
      <c r="F162" s="6"/>
      <c r="G162" s="6"/>
      <c r="H162" s="15"/>
    </row>
    <row r="163" spans="3:10" ht="15" thickBot="1" x14ac:dyDescent="0.4">
      <c r="D163" s="330" t="s">
        <v>54</v>
      </c>
      <c r="E163" s="331"/>
      <c r="F163" s="74">
        <f>SUM(F160:F162)</f>
        <v>10131.86</v>
      </c>
      <c r="G163" s="74">
        <f>SUM(G160:G162)</f>
        <v>7487.8603999999996</v>
      </c>
      <c r="H163" s="129">
        <f>SUM(H160:H162)</f>
        <v>2643.9996000000001</v>
      </c>
    </row>
    <row r="165" spans="3:10" ht="15" thickBot="1" x14ac:dyDescent="0.4"/>
    <row r="166" spans="3:10" ht="16" thickBot="1" x14ac:dyDescent="0.4">
      <c r="C166" s="354" t="s">
        <v>258</v>
      </c>
      <c r="D166" s="355"/>
      <c r="E166" s="355"/>
      <c r="F166" s="355"/>
      <c r="G166" s="355"/>
      <c r="H166" s="355"/>
      <c r="I166" s="355"/>
      <c r="J166" s="356"/>
    </row>
    <row r="167" spans="3:10" ht="16" thickBot="1" x14ac:dyDescent="0.4">
      <c r="C167" s="17" t="s">
        <v>1</v>
      </c>
      <c r="D167" s="100" t="s">
        <v>55</v>
      </c>
      <c r="E167" s="18" t="s">
        <v>41</v>
      </c>
      <c r="F167" s="18" t="s">
        <v>40</v>
      </c>
      <c r="G167" s="18" t="s">
        <v>42</v>
      </c>
      <c r="H167" s="19" t="s">
        <v>43</v>
      </c>
      <c r="I167" s="75" t="s">
        <v>44</v>
      </c>
      <c r="J167" s="20" t="s">
        <v>3</v>
      </c>
    </row>
    <row r="168" spans="3:10" x14ac:dyDescent="0.35">
      <c r="C168" s="12" t="s">
        <v>6</v>
      </c>
      <c r="D168" s="101" t="s">
        <v>56</v>
      </c>
      <c r="E168" s="3"/>
      <c r="F168" s="3"/>
      <c r="G168" s="3"/>
      <c r="H168" s="4">
        <v>1</v>
      </c>
      <c r="I168" s="4"/>
      <c r="J168" s="8">
        <f>+SUM(E168:I168)</f>
        <v>1</v>
      </c>
    </row>
    <row r="169" spans="3:10" x14ac:dyDescent="0.35">
      <c r="C169" s="13" t="s">
        <v>2</v>
      </c>
      <c r="D169" s="102" t="s">
        <v>56</v>
      </c>
      <c r="E169" s="2">
        <v>39</v>
      </c>
      <c r="F169" s="2">
        <v>20</v>
      </c>
      <c r="G169" s="2">
        <v>21</v>
      </c>
      <c r="H169" s="5">
        <v>40</v>
      </c>
      <c r="I169" s="5">
        <v>0</v>
      </c>
      <c r="J169" s="9">
        <f>+SUM(E169:I169)</f>
        <v>120</v>
      </c>
    </row>
    <row r="170" spans="3:10" x14ac:dyDescent="0.35">
      <c r="C170" s="13" t="s">
        <v>4</v>
      </c>
      <c r="D170" s="102" t="s">
        <v>56</v>
      </c>
      <c r="E170" s="2">
        <v>66</v>
      </c>
      <c r="F170" s="2">
        <v>33</v>
      </c>
      <c r="G170" s="2">
        <v>34</v>
      </c>
      <c r="H170" s="5">
        <v>67</v>
      </c>
      <c r="I170" s="5">
        <v>0</v>
      </c>
      <c r="J170" s="9">
        <f t="shared" ref="J170:J178" si="17">+SUM(E170:I170)</f>
        <v>200</v>
      </c>
    </row>
    <row r="171" spans="3:10" x14ac:dyDescent="0.35">
      <c r="C171" s="13" t="s">
        <v>10</v>
      </c>
      <c r="D171" s="102" t="s">
        <v>56</v>
      </c>
      <c r="E171" s="2">
        <v>53</v>
      </c>
      <c r="F171" s="2">
        <v>34</v>
      </c>
      <c r="G171" s="2">
        <v>33</v>
      </c>
      <c r="H171" s="5">
        <v>80</v>
      </c>
      <c r="I171" s="5">
        <v>0</v>
      </c>
      <c r="J171" s="9">
        <f t="shared" si="17"/>
        <v>200</v>
      </c>
    </row>
    <row r="172" spans="3:10" x14ac:dyDescent="0.35">
      <c r="C172" s="13" t="s">
        <v>11</v>
      </c>
      <c r="D172" s="102" t="s">
        <v>56</v>
      </c>
      <c r="E172" s="2">
        <v>0</v>
      </c>
      <c r="F172" s="2">
        <v>15</v>
      </c>
      <c r="G172" s="23">
        <v>60</v>
      </c>
      <c r="H172" s="5">
        <v>125</v>
      </c>
      <c r="I172" s="5">
        <v>0</v>
      </c>
      <c r="J172" s="9">
        <f t="shared" si="17"/>
        <v>200</v>
      </c>
    </row>
    <row r="173" spans="3:10" x14ac:dyDescent="0.35">
      <c r="C173" s="13" t="s">
        <v>12</v>
      </c>
      <c r="D173" s="102" t="s">
        <v>56</v>
      </c>
      <c r="E173" s="2">
        <v>182</v>
      </c>
      <c r="F173" s="2">
        <v>68</v>
      </c>
      <c r="G173" s="2">
        <v>22.5</v>
      </c>
      <c r="H173" s="5">
        <v>27.5</v>
      </c>
      <c r="I173" s="5">
        <v>0</v>
      </c>
      <c r="J173" s="9">
        <f t="shared" si="17"/>
        <v>300</v>
      </c>
    </row>
    <row r="174" spans="3:10" x14ac:dyDescent="0.35">
      <c r="C174" s="13" t="s">
        <v>33</v>
      </c>
      <c r="D174" s="102" t="s">
        <v>56</v>
      </c>
      <c r="E174" s="2">
        <v>0</v>
      </c>
      <c r="F174" s="2">
        <v>70</v>
      </c>
      <c r="G174" s="2">
        <v>0</v>
      </c>
      <c r="H174" s="5">
        <v>227.5</v>
      </c>
      <c r="I174" s="5">
        <v>0</v>
      </c>
      <c r="J174" s="9">
        <f t="shared" si="17"/>
        <v>297.5</v>
      </c>
    </row>
    <row r="175" spans="3:10" x14ac:dyDescent="0.35">
      <c r="C175" s="13" t="s">
        <v>34</v>
      </c>
      <c r="D175" s="102" t="s">
        <v>56</v>
      </c>
      <c r="E175" s="2">
        <v>110</v>
      </c>
      <c r="F175" s="2">
        <v>0</v>
      </c>
      <c r="G175" s="2">
        <v>92.5</v>
      </c>
      <c r="H175" s="5">
        <v>0</v>
      </c>
      <c r="I175" s="5">
        <v>0</v>
      </c>
      <c r="J175" s="9">
        <f t="shared" si="17"/>
        <v>202.5</v>
      </c>
    </row>
    <row r="176" spans="3:10" x14ac:dyDescent="0.35">
      <c r="C176" s="13" t="s">
        <v>38</v>
      </c>
      <c r="D176" s="102" t="s">
        <v>56</v>
      </c>
      <c r="E176" s="2">
        <v>0</v>
      </c>
      <c r="F176" s="2">
        <v>0</v>
      </c>
      <c r="G176" s="2">
        <v>0</v>
      </c>
      <c r="H176" s="5">
        <v>0</v>
      </c>
      <c r="I176" s="5">
        <v>268</v>
      </c>
      <c r="J176" s="9">
        <f t="shared" si="17"/>
        <v>268</v>
      </c>
    </row>
    <row r="177" spans="3:12" x14ac:dyDescent="0.35">
      <c r="C177" s="13" t="s">
        <v>57</v>
      </c>
      <c r="D177" s="102" t="s">
        <v>56</v>
      </c>
      <c r="E177" s="2">
        <v>0</v>
      </c>
      <c r="F177" s="2">
        <v>0</v>
      </c>
      <c r="G177" s="2">
        <v>0</v>
      </c>
      <c r="H177" s="5">
        <v>0</v>
      </c>
      <c r="I177" s="5">
        <v>2</v>
      </c>
      <c r="J177" s="9">
        <f t="shared" si="17"/>
        <v>2</v>
      </c>
    </row>
    <row r="178" spans="3:12" x14ac:dyDescent="0.35">
      <c r="C178" s="13" t="s">
        <v>59</v>
      </c>
      <c r="D178" s="102" t="s">
        <v>56</v>
      </c>
      <c r="E178" s="2">
        <v>0</v>
      </c>
      <c r="F178" s="2">
        <v>13</v>
      </c>
      <c r="G178" s="2">
        <v>20</v>
      </c>
      <c r="H178" s="5">
        <v>0</v>
      </c>
      <c r="I178" s="5">
        <v>0</v>
      </c>
      <c r="J178" s="9">
        <f t="shared" si="17"/>
        <v>33</v>
      </c>
    </row>
    <row r="179" spans="3:12" x14ac:dyDescent="0.35">
      <c r="C179" s="13" t="s">
        <v>66</v>
      </c>
      <c r="D179" s="102" t="s">
        <v>56</v>
      </c>
      <c r="E179" s="2">
        <v>-0.88</v>
      </c>
      <c r="F179" s="2">
        <v>0</v>
      </c>
      <c r="G179" s="2">
        <v>0</v>
      </c>
      <c r="H179" s="5">
        <v>-2.12</v>
      </c>
      <c r="I179" s="5">
        <v>0</v>
      </c>
      <c r="J179" s="9">
        <f t="shared" ref="J179:J193" si="18">+SUM(E179:I179)</f>
        <v>-3</v>
      </c>
    </row>
    <row r="180" spans="3:12" x14ac:dyDescent="0.35">
      <c r="C180" s="14" t="s">
        <v>71</v>
      </c>
      <c r="D180" s="103" t="s">
        <v>56</v>
      </c>
      <c r="E180" s="6">
        <v>0</v>
      </c>
      <c r="F180" s="6">
        <v>159</v>
      </c>
      <c r="G180" s="6">
        <v>70</v>
      </c>
      <c r="H180" s="120">
        <v>271</v>
      </c>
      <c r="I180" s="7">
        <v>0</v>
      </c>
      <c r="J180" s="10">
        <f t="shared" si="18"/>
        <v>500</v>
      </c>
    </row>
    <row r="181" spans="3:12" x14ac:dyDescent="0.35">
      <c r="C181" s="14" t="s">
        <v>75</v>
      </c>
      <c r="D181" s="103" t="s">
        <v>56</v>
      </c>
      <c r="E181" s="6">
        <v>0</v>
      </c>
      <c r="F181" s="6">
        <v>205</v>
      </c>
      <c r="G181" s="6">
        <v>0</v>
      </c>
      <c r="H181" s="120">
        <v>145</v>
      </c>
      <c r="I181" s="7">
        <v>150</v>
      </c>
      <c r="J181" s="10">
        <f t="shared" si="18"/>
        <v>500</v>
      </c>
    </row>
    <row r="182" spans="3:12" x14ac:dyDescent="0.35">
      <c r="C182" s="14" t="s">
        <v>76</v>
      </c>
      <c r="D182" s="103" t="s">
        <v>56</v>
      </c>
      <c r="E182" s="6">
        <v>250</v>
      </c>
      <c r="F182" s="6">
        <v>281</v>
      </c>
      <c r="G182" s="6">
        <v>0</v>
      </c>
      <c r="H182" s="7">
        <v>119</v>
      </c>
      <c r="I182" s="7">
        <v>50</v>
      </c>
      <c r="J182" s="97">
        <f t="shared" si="18"/>
        <v>700</v>
      </c>
    </row>
    <row r="183" spans="3:12" x14ac:dyDescent="0.35">
      <c r="C183" s="204" t="s">
        <v>76</v>
      </c>
      <c r="D183" s="205" t="s">
        <v>56</v>
      </c>
      <c r="E183" s="206">
        <v>0</v>
      </c>
      <c r="F183" s="206">
        <v>-53.5396</v>
      </c>
      <c r="G183" s="206">
        <v>0</v>
      </c>
      <c r="H183" s="206">
        <v>53.5396</v>
      </c>
      <c r="I183" s="207">
        <v>0</v>
      </c>
      <c r="J183" s="208">
        <f t="shared" si="18"/>
        <v>0</v>
      </c>
      <c r="L183" s="112" t="s">
        <v>126</v>
      </c>
    </row>
    <row r="184" spans="3:12" x14ac:dyDescent="0.35">
      <c r="C184" s="14" t="s">
        <v>79</v>
      </c>
      <c r="D184" s="103" t="s">
        <v>56</v>
      </c>
      <c r="E184" s="6">
        <v>36</v>
      </c>
      <c r="F184" s="6">
        <v>0</v>
      </c>
      <c r="G184" s="6">
        <v>164</v>
      </c>
      <c r="H184" s="7">
        <v>0</v>
      </c>
      <c r="I184" s="7">
        <v>0</v>
      </c>
      <c r="J184" s="97">
        <f t="shared" si="18"/>
        <v>200</v>
      </c>
    </row>
    <row r="185" spans="3:12" x14ac:dyDescent="0.35">
      <c r="C185" s="14" t="s">
        <v>88</v>
      </c>
      <c r="D185" s="103" t="s">
        <v>56</v>
      </c>
      <c r="E185" s="6">
        <v>50</v>
      </c>
      <c r="F185" s="6">
        <v>0</v>
      </c>
      <c r="G185" s="6">
        <v>0</v>
      </c>
      <c r="H185" s="7">
        <v>54</v>
      </c>
      <c r="I185" s="7">
        <v>375</v>
      </c>
      <c r="J185" s="97">
        <f t="shared" si="18"/>
        <v>479</v>
      </c>
    </row>
    <row r="186" spans="3:12" x14ac:dyDescent="0.35">
      <c r="C186" s="14" t="s">
        <v>123</v>
      </c>
      <c r="D186" s="103" t="s">
        <v>56</v>
      </c>
      <c r="E186" s="6">
        <v>250</v>
      </c>
      <c r="F186" s="6">
        <v>0</v>
      </c>
      <c r="G186" s="6">
        <v>0</v>
      </c>
      <c r="H186" s="7">
        <v>200</v>
      </c>
      <c r="I186" s="7">
        <v>0</v>
      </c>
      <c r="J186" s="97">
        <f t="shared" si="18"/>
        <v>450</v>
      </c>
    </row>
    <row r="187" spans="3:12" x14ac:dyDescent="0.35">
      <c r="C187" s="14" t="s">
        <v>124</v>
      </c>
      <c r="D187" s="103" t="s">
        <v>56</v>
      </c>
      <c r="E187" s="6">
        <v>190</v>
      </c>
      <c r="F187" s="6">
        <v>0</v>
      </c>
      <c r="G187" s="6">
        <v>300</v>
      </c>
      <c r="H187" s="7">
        <v>110</v>
      </c>
      <c r="I187" s="7">
        <v>25</v>
      </c>
      <c r="J187" s="97">
        <f t="shared" si="18"/>
        <v>625</v>
      </c>
    </row>
    <row r="188" spans="3:12" x14ac:dyDescent="0.35">
      <c r="C188" s="14" t="s">
        <v>137</v>
      </c>
      <c r="D188" s="103" t="s">
        <v>56</v>
      </c>
      <c r="E188" s="6">
        <v>150</v>
      </c>
      <c r="F188" s="6">
        <v>0</v>
      </c>
      <c r="G188" s="6">
        <v>0</v>
      </c>
      <c r="H188" s="7">
        <v>60</v>
      </c>
      <c r="I188" s="7">
        <v>40</v>
      </c>
      <c r="J188" s="97">
        <f t="shared" si="18"/>
        <v>250</v>
      </c>
    </row>
    <row r="189" spans="3:12" x14ac:dyDescent="0.35">
      <c r="C189" s="14" t="s">
        <v>157</v>
      </c>
      <c r="D189" s="103" t="s">
        <v>56</v>
      </c>
      <c r="E189" s="6">
        <v>140</v>
      </c>
      <c r="F189" s="6">
        <v>0</v>
      </c>
      <c r="G189" s="6">
        <v>0</v>
      </c>
      <c r="H189" s="7">
        <v>60</v>
      </c>
      <c r="I189" s="7">
        <v>0</v>
      </c>
      <c r="J189" s="97">
        <f t="shared" si="18"/>
        <v>200</v>
      </c>
    </row>
    <row r="190" spans="3:12" x14ac:dyDescent="0.35">
      <c r="C190" s="14" t="s">
        <v>238</v>
      </c>
      <c r="D190" s="103" t="s">
        <v>56</v>
      </c>
      <c r="E190" s="6">
        <v>172.5</v>
      </c>
      <c r="F190" s="6">
        <v>0</v>
      </c>
      <c r="G190" s="6">
        <v>27.5</v>
      </c>
      <c r="H190" s="7">
        <v>-50</v>
      </c>
      <c r="I190" s="7">
        <v>50</v>
      </c>
      <c r="J190" s="97">
        <f t="shared" si="18"/>
        <v>200</v>
      </c>
    </row>
    <row r="191" spans="3:12" x14ac:dyDescent="0.35">
      <c r="C191" s="14" t="s">
        <v>246</v>
      </c>
      <c r="D191" s="103" t="s">
        <v>56</v>
      </c>
      <c r="E191" s="6">
        <v>0.36</v>
      </c>
      <c r="F191" s="6">
        <v>0</v>
      </c>
      <c r="G191" s="6">
        <v>0</v>
      </c>
      <c r="H191" s="7">
        <v>102</v>
      </c>
      <c r="I191" s="7">
        <v>0</v>
      </c>
      <c r="J191" s="10">
        <f t="shared" si="18"/>
        <v>102.36</v>
      </c>
    </row>
    <row r="192" spans="3:12" x14ac:dyDescent="0.35">
      <c r="C192" s="204" t="s">
        <v>247</v>
      </c>
      <c r="D192" s="205" t="s">
        <v>256</v>
      </c>
      <c r="E192" s="206">
        <v>0</v>
      </c>
      <c r="F192" s="206">
        <v>0</v>
      </c>
      <c r="G192" s="206">
        <v>0</v>
      </c>
      <c r="H192" s="207">
        <v>4.5</v>
      </c>
      <c r="I192" s="207">
        <v>0</v>
      </c>
      <c r="J192" s="280">
        <f t="shared" si="18"/>
        <v>4.5</v>
      </c>
    </row>
    <row r="193" spans="3:10" x14ac:dyDescent="0.35">
      <c r="C193" s="14" t="s">
        <v>247</v>
      </c>
      <c r="D193" s="103" t="s">
        <v>56</v>
      </c>
      <c r="E193" s="6">
        <v>0.94</v>
      </c>
      <c r="F193" s="6">
        <v>0</v>
      </c>
      <c r="G193" s="6">
        <v>-3.9600000000000003E-2</v>
      </c>
      <c r="H193" s="7">
        <v>-6</v>
      </c>
      <c r="I193" s="7">
        <v>5.0999999999999996</v>
      </c>
      <c r="J193" s="10">
        <f t="shared" si="18"/>
        <v>3.9999999999995595E-4</v>
      </c>
    </row>
    <row r="194" spans="3:10" x14ac:dyDescent="0.35">
      <c r="C194" s="14"/>
      <c r="D194" s="103"/>
      <c r="E194" s="6"/>
      <c r="F194" s="6"/>
      <c r="G194" s="6"/>
      <c r="H194" s="7"/>
      <c r="I194" s="7"/>
      <c r="J194" s="97"/>
    </row>
    <row r="195" spans="3:10" ht="15" thickBot="1" x14ac:dyDescent="0.4">
      <c r="C195" s="14"/>
      <c r="D195" s="103"/>
      <c r="E195" s="6"/>
      <c r="F195" s="6"/>
      <c r="G195" s="6"/>
      <c r="H195" s="7"/>
      <c r="I195" s="7"/>
      <c r="J195" s="10"/>
    </row>
    <row r="196" spans="3:10" ht="19" thickBot="1" x14ac:dyDescent="0.5">
      <c r="C196" s="136" t="s">
        <v>3</v>
      </c>
      <c r="D196" s="137"/>
      <c r="E196" s="138">
        <f>SUM(E169:E195)</f>
        <v>1688.9199999999998</v>
      </c>
      <c r="F196" s="138">
        <f>SUM(F169:F195)</f>
        <v>844.46040000000005</v>
      </c>
      <c r="G196" s="138">
        <f>SUM(G169:G195)</f>
        <v>844.46040000000005</v>
      </c>
      <c r="H196" s="139">
        <f>SUM(H168:H195)</f>
        <v>1688.9196000000002</v>
      </c>
      <c r="I196" s="139">
        <f>SUM(I168:I195)</f>
        <v>965.1</v>
      </c>
      <c r="J196" s="152">
        <f>SUM(J168:J195)</f>
        <v>6031.8603999999996</v>
      </c>
    </row>
    <row r="197" spans="3:10" ht="16" thickBot="1" x14ac:dyDescent="0.4">
      <c r="C197" s="121" t="s">
        <v>253</v>
      </c>
      <c r="D197" s="123"/>
      <c r="E197" s="123">
        <f>F161*0.28</f>
        <v>1688.9208000000001</v>
      </c>
      <c r="F197" s="123">
        <f>+F161*0.14</f>
        <v>844.46040000000005</v>
      </c>
      <c r="G197" s="123">
        <f>F161*0.14</f>
        <v>844.46040000000005</v>
      </c>
      <c r="H197" s="123">
        <f>+F161*0.28</f>
        <v>1688.9208000000001</v>
      </c>
      <c r="I197" s="123">
        <f>F161*0.16</f>
        <v>965.09759999999994</v>
      </c>
      <c r="J197" s="158">
        <f>SUM(E197:I197)</f>
        <v>6031.8600000000006</v>
      </c>
    </row>
    <row r="198" spans="3:10" ht="16" thickBot="1" x14ac:dyDescent="0.4">
      <c r="C198" s="17" t="s">
        <v>254</v>
      </c>
      <c r="D198" s="18"/>
      <c r="E198" s="18">
        <f>E197-E196</f>
        <v>8.0000000025393092E-4</v>
      </c>
      <c r="F198" s="18">
        <f t="shared" ref="F198" si="19">F197-F196</f>
        <v>0</v>
      </c>
      <c r="G198" s="18">
        <f t="shared" ref="G198" si="20">G197-G196</f>
        <v>0</v>
      </c>
      <c r="H198" s="18">
        <f t="shared" ref="H198" si="21">H197-H196</f>
        <v>1.199999999926149E-3</v>
      </c>
      <c r="I198" s="18">
        <f t="shared" ref="I198" si="22">I197-I196</f>
        <v>-2.4000000000796717E-3</v>
      </c>
      <c r="J198" s="281">
        <f t="shared" ref="J198" si="23">J197-J196</f>
        <v>-3.9999999899009708E-4</v>
      </c>
    </row>
    <row r="199" spans="3:10" ht="15" thickBot="1" x14ac:dyDescent="0.4">
      <c r="C199" s="325" t="s">
        <v>259</v>
      </c>
      <c r="D199" s="326"/>
      <c r="E199" s="326"/>
      <c r="F199" s="326"/>
      <c r="G199" s="326"/>
      <c r="H199" s="326"/>
      <c r="I199" s="326"/>
      <c r="J199" s="327"/>
    </row>
    <row r="200" spans="3:10" ht="15" thickBot="1" x14ac:dyDescent="0.4">
      <c r="E200"/>
      <c r="F200"/>
      <c r="G200"/>
      <c r="H200"/>
      <c r="I200"/>
      <c r="J200"/>
    </row>
    <row r="201" spans="3:10" ht="16" thickBot="1" x14ac:dyDescent="0.4">
      <c r="C201" s="357" t="s">
        <v>313</v>
      </c>
      <c r="D201" s="358"/>
      <c r="E201" s="358"/>
      <c r="F201" s="358"/>
      <c r="G201" s="358"/>
      <c r="H201" s="358"/>
      <c r="I201" s="358"/>
      <c r="J201" s="359"/>
    </row>
    <row r="202" spans="3:10" ht="16" thickBot="1" x14ac:dyDescent="0.4">
      <c r="C202" s="121" t="s">
        <v>1</v>
      </c>
      <c r="D202" s="122" t="s">
        <v>55</v>
      </c>
      <c r="E202" s="123" t="s">
        <v>41</v>
      </c>
      <c r="F202" s="123" t="s">
        <v>40</v>
      </c>
      <c r="G202" s="123" t="s">
        <v>42</v>
      </c>
      <c r="H202" s="124" t="s">
        <v>43</v>
      </c>
      <c r="I202" s="125" t="s">
        <v>44</v>
      </c>
      <c r="J202" s="126" t="s">
        <v>3</v>
      </c>
    </row>
    <row r="203" spans="3:10" s="151" customFormat="1" x14ac:dyDescent="0.35">
      <c r="C203" s="148" t="s">
        <v>59</v>
      </c>
      <c r="D203" s="149" t="s">
        <v>60</v>
      </c>
      <c r="E203" s="149">
        <v>114.72</v>
      </c>
      <c r="F203" s="149">
        <v>30</v>
      </c>
      <c r="G203" s="149">
        <v>0</v>
      </c>
      <c r="H203" s="149">
        <v>0</v>
      </c>
      <c r="I203" s="149">
        <v>55.28</v>
      </c>
      <c r="J203" s="150">
        <f t="shared" ref="J203" si="24">+SUM(E203:I203)</f>
        <v>200</v>
      </c>
    </row>
    <row r="204" spans="3:10" s="151" customFormat="1" x14ac:dyDescent="0.35">
      <c r="C204" s="211" t="s">
        <v>151</v>
      </c>
      <c r="D204" s="212" t="s">
        <v>60</v>
      </c>
      <c r="E204" s="212">
        <v>0</v>
      </c>
      <c r="F204" s="212">
        <v>0</v>
      </c>
      <c r="G204" s="212">
        <v>0</v>
      </c>
      <c r="H204" s="212">
        <v>125</v>
      </c>
      <c r="I204" s="212">
        <v>100</v>
      </c>
      <c r="J204" s="127">
        <f>+SUM(E204:I204)</f>
        <v>225</v>
      </c>
    </row>
    <row r="205" spans="3:10" x14ac:dyDescent="0.35">
      <c r="C205" s="13" t="s">
        <v>141</v>
      </c>
      <c r="D205" s="2" t="s">
        <v>60</v>
      </c>
      <c r="E205" s="2">
        <v>100</v>
      </c>
      <c r="F205" s="2">
        <v>0</v>
      </c>
      <c r="G205" s="2">
        <v>0</v>
      </c>
      <c r="H205" s="2">
        <v>0</v>
      </c>
      <c r="I205" s="2">
        <v>0</v>
      </c>
      <c r="J205" s="127">
        <f>+SUM(E205:I205)</f>
        <v>100</v>
      </c>
    </row>
    <row r="206" spans="3:10" x14ac:dyDescent="0.35">
      <c r="C206" s="14" t="s">
        <v>150</v>
      </c>
      <c r="D206" s="6" t="s">
        <v>60</v>
      </c>
      <c r="E206" s="6">
        <v>0</v>
      </c>
      <c r="F206" s="6">
        <v>0</v>
      </c>
      <c r="G206" s="6">
        <v>80</v>
      </c>
      <c r="H206" s="6">
        <v>100</v>
      </c>
      <c r="I206" s="6">
        <v>0</v>
      </c>
      <c r="J206" s="127">
        <f t="shared" ref="J206:J211" si="25">+SUM(E206:I206)</f>
        <v>180</v>
      </c>
    </row>
    <row r="207" spans="3:10" x14ac:dyDescent="0.35">
      <c r="C207" s="14" t="s">
        <v>156</v>
      </c>
      <c r="D207" s="6" t="s">
        <v>60</v>
      </c>
      <c r="E207" s="6">
        <v>0</v>
      </c>
      <c r="F207" s="6">
        <v>150</v>
      </c>
      <c r="G207" s="6">
        <v>120</v>
      </c>
      <c r="H207" s="6">
        <v>181</v>
      </c>
      <c r="I207" s="6">
        <v>0</v>
      </c>
      <c r="J207" s="127">
        <f t="shared" si="25"/>
        <v>451</v>
      </c>
    </row>
    <row r="208" spans="3:10" x14ac:dyDescent="0.35">
      <c r="C208" s="14" t="s">
        <v>157</v>
      </c>
      <c r="D208" s="6" t="s">
        <v>60</v>
      </c>
      <c r="E208" s="6">
        <v>100</v>
      </c>
      <c r="F208" s="6">
        <v>23</v>
      </c>
      <c r="G208" s="6">
        <v>3</v>
      </c>
      <c r="H208" s="6">
        <v>0</v>
      </c>
      <c r="I208" s="6">
        <v>-55.28</v>
      </c>
      <c r="J208" s="127">
        <f t="shared" si="25"/>
        <v>70.72</v>
      </c>
    </row>
    <row r="209" spans="3:10" x14ac:dyDescent="0.35">
      <c r="C209" s="14" t="s">
        <v>157</v>
      </c>
      <c r="D209" s="6" t="s">
        <v>60</v>
      </c>
      <c r="E209" s="6">
        <v>0</v>
      </c>
      <c r="F209" s="6">
        <v>0</v>
      </c>
      <c r="G209" s="6">
        <v>0</v>
      </c>
      <c r="H209" s="6">
        <v>0</v>
      </c>
      <c r="I209" s="6">
        <v>78</v>
      </c>
      <c r="J209" s="127">
        <f t="shared" si="25"/>
        <v>78</v>
      </c>
    </row>
    <row r="210" spans="3:10" x14ac:dyDescent="0.35">
      <c r="C210" s="14" t="s">
        <v>245</v>
      </c>
      <c r="D210" s="6" t="s">
        <v>60</v>
      </c>
      <c r="E210" s="6">
        <v>0</v>
      </c>
      <c r="F210" s="6">
        <v>0</v>
      </c>
      <c r="G210" s="6">
        <v>0</v>
      </c>
      <c r="H210" s="6">
        <v>0</v>
      </c>
      <c r="I210" s="6">
        <v>60</v>
      </c>
      <c r="J210" s="128">
        <f t="shared" si="25"/>
        <v>60</v>
      </c>
    </row>
    <row r="211" spans="3:10" x14ac:dyDescent="0.35">
      <c r="C211" s="14" t="s">
        <v>238</v>
      </c>
      <c r="D211" s="6" t="s">
        <v>60</v>
      </c>
      <c r="E211" s="6">
        <v>91.28</v>
      </c>
      <c r="F211" s="6">
        <v>0</v>
      </c>
      <c r="G211" s="6">
        <v>0</v>
      </c>
      <c r="H211" s="6">
        <v>0</v>
      </c>
      <c r="I211" s="6">
        <v>0</v>
      </c>
      <c r="J211" s="128">
        <f t="shared" si="25"/>
        <v>91.28</v>
      </c>
    </row>
    <row r="212" spans="3:10" x14ac:dyDescent="0.35">
      <c r="C212" s="14"/>
      <c r="D212" s="6"/>
      <c r="E212" s="6"/>
      <c r="F212" s="6"/>
      <c r="G212" s="6"/>
      <c r="H212" s="6"/>
      <c r="I212" s="6">
        <v>52</v>
      </c>
      <c r="J212" s="128"/>
    </row>
    <row r="213" spans="3:10" x14ac:dyDescent="0.35">
      <c r="C213" s="14"/>
      <c r="D213" s="6"/>
      <c r="E213" s="6"/>
      <c r="F213" s="6"/>
      <c r="G213" s="6"/>
      <c r="H213" s="6"/>
      <c r="I213" s="6"/>
      <c r="J213" s="128"/>
    </row>
    <row r="214" spans="3:10" ht="15" thickBot="1" x14ac:dyDescent="0.4">
      <c r="C214" s="71"/>
      <c r="D214" s="72"/>
      <c r="E214" s="6"/>
      <c r="F214" s="6"/>
      <c r="G214" s="6"/>
      <c r="H214" s="6"/>
      <c r="I214" s="6"/>
      <c r="J214" s="128"/>
    </row>
    <row r="215" spans="3:10" s="24" customFormat="1" ht="16" thickBot="1" x14ac:dyDescent="0.4">
      <c r="C215" s="140" t="s">
        <v>3</v>
      </c>
      <c r="D215" s="141"/>
      <c r="E215" s="142">
        <f t="shared" ref="E215:J215" si="26">SUM(E203:E214)</f>
        <v>406</v>
      </c>
      <c r="F215" s="142">
        <f t="shared" si="26"/>
        <v>203</v>
      </c>
      <c r="G215" s="142">
        <f t="shared" si="26"/>
        <v>203</v>
      </c>
      <c r="H215" s="142">
        <f t="shared" si="26"/>
        <v>406</v>
      </c>
      <c r="I215" s="142">
        <f t="shared" si="26"/>
        <v>290</v>
      </c>
      <c r="J215" s="153">
        <f t="shared" si="26"/>
        <v>1456</v>
      </c>
    </row>
    <row r="216" spans="3:10" ht="15" thickBot="1" x14ac:dyDescent="0.4">
      <c r="C216" s="134"/>
      <c r="J216" s="135"/>
    </row>
    <row r="217" spans="3:10" s="147" customFormat="1" ht="19" thickBot="1" x14ac:dyDescent="0.5">
      <c r="C217" s="143" t="s">
        <v>80</v>
      </c>
      <c r="D217" s="144"/>
      <c r="E217" s="145">
        <f t="shared" ref="E217:J217" si="27">E196+E215</f>
        <v>2094.92</v>
      </c>
      <c r="F217" s="145">
        <f t="shared" si="27"/>
        <v>1047.4603999999999</v>
      </c>
      <c r="G217" s="145">
        <f t="shared" si="27"/>
        <v>1047.4603999999999</v>
      </c>
      <c r="H217" s="145">
        <f t="shared" si="27"/>
        <v>2094.9196000000002</v>
      </c>
      <c r="I217" s="145">
        <f t="shared" si="27"/>
        <v>1255.0999999999999</v>
      </c>
      <c r="J217" s="146">
        <f t="shared" si="27"/>
        <v>7487.8603999999996</v>
      </c>
    </row>
    <row r="219" spans="3:10" ht="15" thickBot="1" x14ac:dyDescent="0.4"/>
    <row r="220" spans="3:10" ht="14.5" customHeight="1" thickBot="1" x14ac:dyDescent="0.4">
      <c r="C220" s="354" t="s">
        <v>91</v>
      </c>
      <c r="D220" s="355"/>
      <c r="E220" s="355"/>
      <c r="F220" s="355"/>
      <c r="G220" s="355"/>
      <c r="H220" s="355"/>
      <c r="I220" s="355"/>
      <c r="J220" s="356"/>
    </row>
    <row r="221" spans="3:10" ht="16" thickBot="1" x14ac:dyDescent="0.4">
      <c r="C221" s="17" t="s">
        <v>25</v>
      </c>
      <c r="D221" s="100" t="s">
        <v>55</v>
      </c>
      <c r="E221" s="18" t="s">
        <v>41</v>
      </c>
      <c r="F221" s="18" t="s">
        <v>40</v>
      </c>
      <c r="G221" s="18" t="s">
        <v>42</v>
      </c>
      <c r="H221" s="19" t="s">
        <v>43</v>
      </c>
      <c r="I221" s="75" t="s">
        <v>44</v>
      </c>
      <c r="J221" s="20" t="s">
        <v>3</v>
      </c>
    </row>
    <row r="222" spans="3:10" ht="15" thickBot="1" x14ac:dyDescent="0.4">
      <c r="C222" s="130" t="s">
        <v>90</v>
      </c>
      <c r="D222" s="131"/>
      <c r="E222" s="132">
        <f>F161*0.28</f>
        <v>1688.9208000000001</v>
      </c>
      <c r="F222" s="132">
        <f>F161*0.14</f>
        <v>844.46040000000005</v>
      </c>
      <c r="G222" s="132">
        <f>F161*0.14</f>
        <v>844.46040000000005</v>
      </c>
      <c r="H222" s="132">
        <f>F161*0.28</f>
        <v>1688.9208000000001</v>
      </c>
      <c r="I222" s="132">
        <f>F161*0.16</f>
        <v>965.09759999999994</v>
      </c>
      <c r="J222" s="159">
        <f>+SUM(E222:I222)</f>
        <v>6031.8600000000006</v>
      </c>
    </row>
    <row r="223" spans="3:10" ht="15" thickBot="1" x14ac:dyDescent="0.4">
      <c r="C223" s="130" t="s">
        <v>89</v>
      </c>
      <c r="D223" s="131"/>
      <c r="E223" s="132">
        <f t="shared" ref="E223:J223" si="28">E196</f>
        <v>1688.9199999999998</v>
      </c>
      <c r="F223" s="132">
        <f t="shared" si="28"/>
        <v>844.46040000000005</v>
      </c>
      <c r="G223" s="132">
        <f t="shared" si="28"/>
        <v>844.46040000000005</v>
      </c>
      <c r="H223" s="132">
        <f t="shared" si="28"/>
        <v>1688.9196000000002</v>
      </c>
      <c r="I223" s="132">
        <f t="shared" si="28"/>
        <v>965.1</v>
      </c>
      <c r="J223" s="156">
        <f t="shared" si="28"/>
        <v>6031.8603999999996</v>
      </c>
    </row>
    <row r="224" spans="3:10" ht="16" thickBot="1" x14ac:dyDescent="0.4">
      <c r="C224" s="130"/>
      <c r="D224" s="131"/>
      <c r="E224" s="132"/>
      <c r="F224" s="132"/>
      <c r="G224" s="132"/>
      <c r="H224" s="132"/>
      <c r="I224" s="132"/>
      <c r="J224" s="133"/>
    </row>
    <row r="225" spans="3:10" ht="16" thickBot="1" x14ac:dyDescent="0.4">
      <c r="C225" s="136" t="s">
        <v>93</v>
      </c>
      <c r="D225" s="164"/>
      <c r="E225" s="138">
        <f>E222-E223</f>
        <v>8.0000000025393092E-4</v>
      </c>
      <c r="F225" s="138">
        <f t="shared" ref="F225:J225" si="29">F222-F223</f>
        <v>0</v>
      </c>
      <c r="G225" s="138">
        <f t="shared" si="29"/>
        <v>0</v>
      </c>
      <c r="H225" s="138">
        <f t="shared" si="29"/>
        <v>1.199999999926149E-3</v>
      </c>
      <c r="I225" s="138">
        <f t="shared" si="29"/>
        <v>-2.4000000000796717E-3</v>
      </c>
      <c r="J225" s="157">
        <f t="shared" si="29"/>
        <v>-3.9999999899009708E-4</v>
      </c>
    </row>
    <row r="226" spans="3:10" ht="15" thickBot="1" x14ac:dyDescent="0.4">
      <c r="C226" s="168"/>
      <c r="J226" s="169"/>
    </row>
    <row r="227" spans="3:10" ht="16" thickBot="1" x14ac:dyDescent="0.4">
      <c r="C227" s="357" t="s">
        <v>92</v>
      </c>
      <c r="D227" s="358"/>
      <c r="E227" s="358"/>
      <c r="F227" s="358"/>
      <c r="G227" s="358"/>
      <c r="H227" s="358"/>
      <c r="I227" s="358"/>
      <c r="J227" s="359"/>
    </row>
    <row r="228" spans="3:10" ht="16" thickBot="1" x14ac:dyDescent="0.4">
      <c r="C228" s="17" t="s">
        <v>25</v>
      </c>
      <c r="D228" s="100" t="s">
        <v>55</v>
      </c>
      <c r="E228" s="18" t="s">
        <v>41</v>
      </c>
      <c r="F228" s="18" t="s">
        <v>40</v>
      </c>
      <c r="G228" s="18" t="s">
        <v>42</v>
      </c>
      <c r="H228" s="19" t="s">
        <v>43</v>
      </c>
      <c r="I228" s="75" t="s">
        <v>44</v>
      </c>
      <c r="J228" s="20" t="s">
        <v>3</v>
      </c>
    </row>
    <row r="229" spans="3:10" ht="15" thickBot="1" x14ac:dyDescent="0.4">
      <c r="C229" s="130" t="s">
        <v>95</v>
      </c>
      <c r="D229" s="131"/>
      <c r="E229" s="132">
        <f>F160*0.28</f>
        <v>1148</v>
      </c>
      <c r="F229" s="132">
        <f>F160*0.14</f>
        <v>574</v>
      </c>
      <c r="G229" s="132">
        <f>F160*0.14</f>
        <v>574</v>
      </c>
      <c r="H229" s="132">
        <f>F160*0.28</f>
        <v>1148</v>
      </c>
      <c r="I229" s="132">
        <f>F160*0.16</f>
        <v>656</v>
      </c>
      <c r="J229" s="159">
        <f>+SUM(E229:I229)</f>
        <v>4100</v>
      </c>
    </row>
    <row r="230" spans="3:10" ht="15" thickBot="1" x14ac:dyDescent="0.4">
      <c r="C230" s="130" t="s">
        <v>89</v>
      </c>
      <c r="D230" s="131"/>
      <c r="E230" s="132">
        <f>E215</f>
        <v>406</v>
      </c>
      <c r="F230" s="132">
        <f t="shared" ref="F230:J230" si="30">F215</f>
        <v>203</v>
      </c>
      <c r="G230" s="132">
        <f t="shared" si="30"/>
        <v>203</v>
      </c>
      <c r="H230" s="132">
        <f t="shared" si="30"/>
        <v>406</v>
      </c>
      <c r="I230" s="132">
        <f t="shared" si="30"/>
        <v>290</v>
      </c>
      <c r="J230" s="156">
        <f t="shared" si="30"/>
        <v>1456</v>
      </c>
    </row>
    <row r="231" spans="3:10" ht="16" thickBot="1" x14ac:dyDescent="0.4">
      <c r="C231" s="130"/>
      <c r="D231" s="131"/>
      <c r="E231" s="132"/>
      <c r="F231" s="132"/>
      <c r="G231" s="132"/>
      <c r="H231" s="132"/>
      <c r="I231" s="132"/>
      <c r="J231" s="158"/>
    </row>
    <row r="232" spans="3:10" ht="16" thickBot="1" x14ac:dyDescent="0.4">
      <c r="C232" s="136" t="s">
        <v>93</v>
      </c>
      <c r="D232" s="164"/>
      <c r="E232" s="138">
        <f>E229-E230</f>
        <v>742</v>
      </c>
      <c r="F232" s="138">
        <f t="shared" ref="F232:J232" si="31">F229-F230</f>
        <v>371</v>
      </c>
      <c r="G232" s="138">
        <f t="shared" si="31"/>
        <v>371</v>
      </c>
      <c r="H232" s="138">
        <f t="shared" si="31"/>
        <v>742</v>
      </c>
      <c r="I232" s="138">
        <f t="shared" si="31"/>
        <v>366</v>
      </c>
      <c r="J232" s="157">
        <f t="shared" si="31"/>
        <v>2644</v>
      </c>
    </row>
    <row r="233" spans="3:10" ht="15" thickBot="1" x14ac:dyDescent="0.4">
      <c r="C233" s="134"/>
      <c r="J233" s="135"/>
    </row>
    <row r="234" spans="3:10" ht="16" thickBot="1" x14ac:dyDescent="0.4">
      <c r="C234" s="165" t="s">
        <v>94</v>
      </c>
      <c r="D234" s="166"/>
      <c r="E234" s="167">
        <f>E225+E232</f>
        <v>742.00080000000025</v>
      </c>
      <c r="F234" s="167">
        <f t="shared" ref="F234:J234" si="32">F225+F232</f>
        <v>371</v>
      </c>
      <c r="G234" s="167">
        <f t="shared" si="32"/>
        <v>371</v>
      </c>
      <c r="H234" s="167">
        <f t="shared" si="32"/>
        <v>742.00119999999993</v>
      </c>
      <c r="I234" s="167">
        <f t="shared" si="32"/>
        <v>365.99759999999992</v>
      </c>
      <c r="J234" s="171">
        <f t="shared" si="32"/>
        <v>2643.999600000001</v>
      </c>
    </row>
    <row r="236" spans="3:10" x14ac:dyDescent="0.35">
      <c r="E236" s="1">
        <f>E234-1372</f>
        <v>-629.99919999999975</v>
      </c>
    </row>
    <row r="237" spans="3:10" ht="15" thickBot="1" x14ac:dyDescent="0.4"/>
    <row r="238" spans="3:10" ht="28.5" customHeight="1" thickBot="1" x14ac:dyDescent="0.4">
      <c r="C238" s="363" t="s">
        <v>39</v>
      </c>
      <c r="D238" s="364"/>
      <c r="E238" s="76">
        <f>+E196/J196*100</f>
        <v>27.999984880286682</v>
      </c>
      <c r="F238" s="76">
        <f>+F196/J196*100</f>
        <v>13.999999071596553</v>
      </c>
      <c r="G238" s="76">
        <f>+G196/J196*100</f>
        <v>13.999999071596553</v>
      </c>
      <c r="H238" s="76">
        <f>+H196/J196*100</f>
        <v>27.999978248833486</v>
      </c>
      <c r="I238" s="76">
        <f>+I196/J196*100</f>
        <v>16.000038727686736</v>
      </c>
      <c r="J238" s="77">
        <f>+J196/J196*100</f>
        <v>100</v>
      </c>
    </row>
    <row r="241" spans="3:10" ht="15" thickBot="1" x14ac:dyDescent="0.4"/>
    <row r="242" spans="3:10" ht="16" thickBot="1" x14ac:dyDescent="0.4">
      <c r="C242" s="354" t="s">
        <v>97</v>
      </c>
      <c r="D242" s="355"/>
      <c r="E242" s="355"/>
      <c r="F242" s="355"/>
      <c r="G242" s="355"/>
      <c r="H242" s="355"/>
      <c r="I242" s="355"/>
      <c r="J242" s="356"/>
    </row>
    <row r="243" spans="3:10" ht="16" thickBot="1" x14ac:dyDescent="0.4">
      <c r="C243" s="17" t="s">
        <v>1</v>
      </c>
      <c r="D243" s="100" t="s">
        <v>55</v>
      </c>
      <c r="E243" s="18" t="s">
        <v>41</v>
      </c>
      <c r="F243" s="18" t="s">
        <v>40</v>
      </c>
      <c r="G243" s="18" t="s">
        <v>42</v>
      </c>
      <c r="H243" s="19" t="s">
        <v>43</v>
      </c>
      <c r="I243" s="75" t="s">
        <v>44</v>
      </c>
      <c r="J243" s="20" t="s">
        <v>3</v>
      </c>
    </row>
    <row r="244" spans="3:10" x14ac:dyDescent="0.35">
      <c r="C244" s="14" t="s">
        <v>71</v>
      </c>
      <c r="D244" s="103" t="s">
        <v>56</v>
      </c>
      <c r="E244" s="6">
        <v>0</v>
      </c>
      <c r="F244" s="6">
        <v>159</v>
      </c>
      <c r="G244" s="6">
        <v>70</v>
      </c>
      <c r="H244" s="120">
        <v>271</v>
      </c>
      <c r="I244" s="7">
        <v>0</v>
      </c>
      <c r="J244" s="10">
        <f t="shared" ref="J244:J248" si="33">+SUM(E244:I244)</f>
        <v>500</v>
      </c>
    </row>
    <row r="245" spans="3:10" x14ac:dyDescent="0.35">
      <c r="C245" s="14" t="s">
        <v>75</v>
      </c>
      <c r="D245" s="103" t="s">
        <v>56</v>
      </c>
      <c r="E245" s="6">
        <v>0</v>
      </c>
      <c r="F245" s="6">
        <v>205</v>
      </c>
      <c r="G245" s="6">
        <v>0</v>
      </c>
      <c r="H245" s="120">
        <v>145</v>
      </c>
      <c r="I245" s="7">
        <v>150</v>
      </c>
      <c r="J245" s="10">
        <f t="shared" si="33"/>
        <v>500</v>
      </c>
    </row>
    <row r="246" spans="3:10" x14ac:dyDescent="0.35">
      <c r="C246" s="14" t="s">
        <v>76</v>
      </c>
      <c r="D246" s="103" t="s">
        <v>56</v>
      </c>
      <c r="E246" s="6">
        <v>250</v>
      </c>
      <c r="F246" s="6">
        <v>281</v>
      </c>
      <c r="G246" s="6">
        <v>0</v>
      </c>
      <c r="H246" s="7">
        <v>119</v>
      </c>
      <c r="I246" s="7">
        <v>50</v>
      </c>
      <c r="J246" s="97">
        <f t="shared" si="33"/>
        <v>700</v>
      </c>
    </row>
    <row r="247" spans="3:10" x14ac:dyDescent="0.35">
      <c r="C247" s="14" t="s">
        <v>79</v>
      </c>
      <c r="D247" s="103" t="s">
        <v>56</v>
      </c>
      <c r="E247" s="6">
        <v>36</v>
      </c>
      <c r="F247" s="6">
        <v>0</v>
      </c>
      <c r="G247" s="6">
        <v>164</v>
      </c>
      <c r="H247" s="7">
        <v>0</v>
      </c>
      <c r="I247" s="7">
        <v>0</v>
      </c>
      <c r="J247" s="97">
        <f t="shared" si="33"/>
        <v>200</v>
      </c>
    </row>
    <row r="248" spans="3:10" x14ac:dyDescent="0.35">
      <c r="C248" s="14" t="s">
        <v>88</v>
      </c>
      <c r="D248" s="103" t="s">
        <v>56</v>
      </c>
      <c r="E248" s="6">
        <v>50</v>
      </c>
      <c r="F248" s="6">
        <v>0</v>
      </c>
      <c r="G248" s="6">
        <v>0</v>
      </c>
      <c r="H248" s="7">
        <v>54</v>
      </c>
      <c r="I248" s="7">
        <v>375</v>
      </c>
      <c r="J248" s="97">
        <f t="shared" si="33"/>
        <v>479</v>
      </c>
    </row>
    <row r="249" spans="3:10" x14ac:dyDescent="0.35">
      <c r="C249" s="14"/>
      <c r="D249" s="103"/>
      <c r="E249" s="6"/>
      <c r="F249" s="6"/>
      <c r="G249" s="6"/>
      <c r="H249" s="7"/>
      <c r="I249" s="7"/>
      <c r="J249" s="97"/>
    </row>
    <row r="250" spans="3:10" ht="15" thickBot="1" x14ac:dyDescent="0.4">
      <c r="C250" s="14"/>
      <c r="D250" s="103"/>
      <c r="E250" s="6"/>
      <c r="F250" s="6"/>
      <c r="G250" s="6"/>
      <c r="H250" s="7"/>
      <c r="I250" s="7"/>
      <c r="J250" s="10"/>
    </row>
    <row r="251" spans="3:10" ht="19" thickBot="1" x14ac:dyDescent="0.5">
      <c r="C251" s="136" t="s">
        <v>3</v>
      </c>
      <c r="D251" s="137"/>
      <c r="E251" s="138">
        <f t="shared" ref="E251:J251" si="34">SUM(E244:E250)</f>
        <v>336</v>
      </c>
      <c r="F251" s="138">
        <f t="shared" si="34"/>
        <v>645</v>
      </c>
      <c r="G251" s="138">
        <f t="shared" si="34"/>
        <v>234</v>
      </c>
      <c r="H251" s="139">
        <f t="shared" si="34"/>
        <v>589</v>
      </c>
      <c r="I251" s="139">
        <f t="shared" si="34"/>
        <v>575</v>
      </c>
      <c r="J251" s="152">
        <f t="shared" si="34"/>
        <v>2379</v>
      </c>
    </row>
    <row r="252" spans="3:10" ht="15" thickBot="1" x14ac:dyDescent="0.4"/>
    <row r="253" spans="3:10" ht="16" thickBot="1" x14ac:dyDescent="0.4">
      <c r="C253" s="17" t="s">
        <v>25</v>
      </c>
      <c r="D253" s="100" t="s">
        <v>55</v>
      </c>
      <c r="E253" s="18" t="s">
        <v>41</v>
      </c>
      <c r="F253" s="18" t="s">
        <v>40</v>
      </c>
      <c r="G253" s="18" t="s">
        <v>42</v>
      </c>
      <c r="H253" s="19" t="s">
        <v>43</v>
      </c>
      <c r="I253" s="75" t="s">
        <v>44</v>
      </c>
      <c r="J253" s="20" t="s">
        <v>3</v>
      </c>
    </row>
    <row r="254" spans="3:10" ht="15" thickBot="1" x14ac:dyDescent="0.4">
      <c r="C254" s="130" t="s">
        <v>96</v>
      </c>
      <c r="D254" s="131"/>
      <c r="E254" s="132">
        <f>F345*0.28</f>
        <v>1708.0000000000002</v>
      </c>
      <c r="F254" s="132">
        <f>F345*0.14</f>
        <v>854.00000000000011</v>
      </c>
      <c r="G254" s="132">
        <f>F345*0.14</f>
        <v>854.00000000000011</v>
      </c>
      <c r="H254" s="132">
        <f>F345*0.28</f>
        <v>1708.0000000000002</v>
      </c>
      <c r="I254" s="132">
        <f>F345*0.16</f>
        <v>976</v>
      </c>
      <c r="J254" s="159">
        <f>+SUM(E254:I254)</f>
        <v>6100.0000000000009</v>
      </c>
    </row>
    <row r="255" spans="3:10" x14ac:dyDescent="0.35">
      <c r="C255" s="172" t="s">
        <v>89</v>
      </c>
      <c r="D255" s="59"/>
      <c r="E255" s="60">
        <f>E251</f>
        <v>336</v>
      </c>
      <c r="F255" s="60">
        <f t="shared" ref="F255:J255" si="35">F251</f>
        <v>645</v>
      </c>
      <c r="G255" s="60">
        <f t="shared" si="35"/>
        <v>234</v>
      </c>
      <c r="H255" s="60">
        <f t="shared" si="35"/>
        <v>589</v>
      </c>
      <c r="I255" s="60">
        <f t="shared" si="35"/>
        <v>575</v>
      </c>
      <c r="J255" s="98">
        <f t="shared" si="35"/>
        <v>2379</v>
      </c>
    </row>
    <row r="256" spans="3:10" ht="15" thickBot="1" x14ac:dyDescent="0.4">
      <c r="C256" s="71"/>
      <c r="D256" s="72"/>
      <c r="E256" s="6"/>
      <c r="F256" s="6"/>
      <c r="G256" s="6"/>
      <c r="H256" s="6"/>
      <c r="I256" s="6"/>
      <c r="J256" s="128"/>
    </row>
    <row r="257" spans="3:10" ht="16" thickBot="1" x14ac:dyDescent="0.4">
      <c r="C257" s="68" t="s">
        <v>93</v>
      </c>
      <c r="D257" s="69"/>
      <c r="E257" s="74">
        <f>E254-E255</f>
        <v>1372.0000000000002</v>
      </c>
      <c r="F257" s="74">
        <f t="shared" ref="F257:J257" si="36">F254-F255</f>
        <v>209.00000000000011</v>
      </c>
      <c r="G257" s="74">
        <f t="shared" si="36"/>
        <v>620.00000000000011</v>
      </c>
      <c r="H257" s="74">
        <f t="shared" si="36"/>
        <v>1119.0000000000002</v>
      </c>
      <c r="I257" s="74">
        <f t="shared" si="36"/>
        <v>401</v>
      </c>
      <c r="J257" s="157">
        <f t="shared" si="36"/>
        <v>3721.0000000000009</v>
      </c>
    </row>
    <row r="290" spans="3:10" ht="16" thickBot="1" x14ac:dyDescent="0.4">
      <c r="C290" s="346" t="s">
        <v>49</v>
      </c>
      <c r="D290" s="346"/>
      <c r="E290" s="346"/>
      <c r="F290" s="346"/>
      <c r="G290" s="346"/>
      <c r="H290" s="346"/>
    </row>
    <row r="291" spans="3:10" s="86" customFormat="1" ht="21.5" customHeight="1" thickBot="1" x14ac:dyDescent="0.4">
      <c r="C291" s="82" t="s">
        <v>25</v>
      </c>
      <c r="D291" s="104"/>
      <c r="E291" s="83" t="s">
        <v>46</v>
      </c>
      <c r="F291" s="83" t="s">
        <v>47</v>
      </c>
      <c r="G291" s="87" t="s">
        <v>5</v>
      </c>
      <c r="H291" s="89" t="s">
        <v>48</v>
      </c>
      <c r="I291" s="84"/>
      <c r="J291" s="85"/>
    </row>
    <row r="292" spans="3:10" x14ac:dyDescent="0.35">
      <c r="C292" s="47" t="s">
        <v>41</v>
      </c>
      <c r="D292" s="105"/>
      <c r="E292" s="80">
        <v>0.28000000000000003</v>
      </c>
      <c r="F292" s="3">
        <f>+F301*E292</f>
        <v>565.88000000000011</v>
      </c>
      <c r="G292" s="4">
        <v>565</v>
      </c>
      <c r="H292" s="90">
        <f>+F292-G292</f>
        <v>0.88000000000010914</v>
      </c>
    </row>
    <row r="293" spans="3:10" x14ac:dyDescent="0.35">
      <c r="C293" s="27" t="s">
        <v>43</v>
      </c>
      <c r="D293" s="106"/>
      <c r="E293" s="79">
        <v>0.28000000000000003</v>
      </c>
      <c r="F293" s="2">
        <f>+F301*E293</f>
        <v>565.88000000000011</v>
      </c>
      <c r="G293" s="5">
        <f>568-2.12</f>
        <v>565.88</v>
      </c>
      <c r="H293" s="91">
        <f t="shared" ref="H293:H294" si="37">+F293-G293</f>
        <v>0</v>
      </c>
    </row>
    <row r="294" spans="3:10" x14ac:dyDescent="0.35">
      <c r="C294" s="27" t="s">
        <v>45</v>
      </c>
      <c r="D294" s="106"/>
      <c r="E294" s="79">
        <v>0.28000000000000003</v>
      </c>
      <c r="F294" s="2">
        <f>+F301*E294</f>
        <v>565.88000000000011</v>
      </c>
      <c r="G294" s="5">
        <v>566</v>
      </c>
      <c r="H294" s="91">
        <f t="shared" si="37"/>
        <v>-0.11999999999989086</v>
      </c>
    </row>
    <row r="295" spans="3:10" x14ac:dyDescent="0.35">
      <c r="C295" s="27" t="s">
        <v>44</v>
      </c>
      <c r="D295" s="106"/>
      <c r="E295" s="79">
        <v>0.16</v>
      </c>
      <c r="F295" s="2">
        <f>+F301*E295</f>
        <v>323.36</v>
      </c>
      <c r="G295" s="350">
        <f>270+55.28</f>
        <v>325.27999999999997</v>
      </c>
      <c r="H295" s="352">
        <f>+F295+F296-G295</f>
        <v>0</v>
      </c>
    </row>
    <row r="296" spans="3:10" x14ac:dyDescent="0.35">
      <c r="C296" s="27" t="s">
        <v>62</v>
      </c>
      <c r="D296" s="107"/>
      <c r="E296" s="79">
        <v>0.16</v>
      </c>
      <c r="F296" s="2">
        <f>+F302*E296</f>
        <v>1.92</v>
      </c>
      <c r="G296" s="351"/>
      <c r="H296" s="353"/>
    </row>
    <row r="297" spans="3:10" ht="15" thickBot="1" x14ac:dyDescent="0.4">
      <c r="C297" s="71"/>
      <c r="D297" s="107"/>
      <c r="E297" s="6"/>
      <c r="F297" s="6"/>
      <c r="G297" s="7"/>
      <c r="H297" s="92"/>
    </row>
    <row r="298" spans="3:10" ht="15" thickBot="1" x14ac:dyDescent="0.4">
      <c r="C298" s="68" t="s">
        <v>3</v>
      </c>
      <c r="D298" s="108"/>
      <c r="E298" s="81"/>
      <c r="F298" s="74">
        <f>SUM(F292:F297)</f>
        <v>2022.9200000000005</v>
      </c>
      <c r="G298" s="88">
        <f>SUM(G292:G297)</f>
        <v>2022.16</v>
      </c>
      <c r="H298" s="93">
        <f>SUM(H292:H297)</f>
        <v>0.76000000000021828</v>
      </c>
    </row>
    <row r="300" spans="3:10" ht="15" thickBot="1" x14ac:dyDescent="0.4"/>
    <row r="301" spans="3:10" x14ac:dyDescent="0.35">
      <c r="C301" s="336" t="s">
        <v>52</v>
      </c>
      <c r="D301" s="337"/>
      <c r="E301" s="338"/>
      <c r="F301" s="98">
        <v>2021</v>
      </c>
    </row>
    <row r="302" spans="3:10" ht="15" thickBot="1" x14ac:dyDescent="0.4">
      <c r="C302" s="339" t="s">
        <v>53</v>
      </c>
      <c r="D302" s="340"/>
      <c r="E302" s="341"/>
      <c r="F302" s="15">
        <v>12</v>
      </c>
    </row>
    <row r="303" spans="3:10" s="24" customFormat="1" ht="15" thickBot="1" x14ac:dyDescent="0.4">
      <c r="C303" s="347" t="s">
        <v>54</v>
      </c>
      <c r="D303" s="348"/>
      <c r="E303" s="349"/>
      <c r="F303" s="99">
        <f>SUM(F301:F302)</f>
        <v>2033</v>
      </c>
      <c r="G303" s="11"/>
      <c r="H303" s="11"/>
      <c r="I303" s="11"/>
      <c r="J303" s="11"/>
    </row>
    <row r="306" spans="3:8" ht="16" thickBot="1" x14ac:dyDescent="0.4">
      <c r="C306" s="346" t="s">
        <v>49</v>
      </c>
      <c r="D306" s="346"/>
      <c r="E306" s="346"/>
      <c r="F306" s="346"/>
      <c r="G306" s="346"/>
      <c r="H306" s="346"/>
    </row>
    <row r="307" spans="3:8" ht="16" thickBot="1" x14ac:dyDescent="0.4">
      <c r="C307" s="365" t="s">
        <v>25</v>
      </c>
      <c r="D307" s="366"/>
      <c r="E307" s="83" t="s">
        <v>46</v>
      </c>
      <c r="F307" s="83" t="s">
        <v>47</v>
      </c>
      <c r="G307" s="87" t="s">
        <v>5</v>
      </c>
      <c r="H307" s="94" t="s">
        <v>48</v>
      </c>
    </row>
    <row r="308" spans="3:8" x14ac:dyDescent="0.35">
      <c r="C308" s="367"/>
      <c r="D308" s="337"/>
      <c r="E308" s="80"/>
      <c r="F308" s="3"/>
      <c r="G308" s="4"/>
      <c r="H308" s="95"/>
    </row>
    <row r="309" spans="3:8" x14ac:dyDescent="0.35">
      <c r="C309" s="360" t="s">
        <v>50</v>
      </c>
      <c r="D309" s="361"/>
      <c r="E309" s="79">
        <v>0.16</v>
      </c>
      <c r="F309" s="2">
        <f>+F301*E309</f>
        <v>323.36</v>
      </c>
      <c r="G309" s="5">
        <f>270+55.28</f>
        <v>325.27999999999997</v>
      </c>
      <c r="H309" s="96">
        <f t="shared" ref="H309" si="38">+F309-G309</f>
        <v>-1.9199999999999591</v>
      </c>
    </row>
    <row r="310" spans="3:8" x14ac:dyDescent="0.35">
      <c r="C310" s="360" t="s">
        <v>51</v>
      </c>
      <c r="D310" s="361"/>
      <c r="E310" s="79">
        <v>0.16</v>
      </c>
      <c r="F310" s="2">
        <f>+F302*E310</f>
        <v>1.92</v>
      </c>
      <c r="G310" s="5">
        <v>0</v>
      </c>
      <c r="H310" s="96">
        <f t="shared" ref="H310" si="39">+F310-G310</f>
        <v>1.92</v>
      </c>
    </row>
    <row r="311" spans="3:8" x14ac:dyDescent="0.35">
      <c r="C311" s="360"/>
      <c r="D311" s="361"/>
      <c r="E311" s="79"/>
      <c r="F311" s="2"/>
      <c r="G311" s="5"/>
      <c r="H311" s="96"/>
    </row>
    <row r="312" spans="3:8" ht="15" thickBot="1" x14ac:dyDescent="0.4">
      <c r="C312" s="360"/>
      <c r="D312" s="361"/>
      <c r="E312" s="6"/>
      <c r="F312" s="6"/>
      <c r="G312" s="7"/>
      <c r="H312" s="97"/>
    </row>
    <row r="313" spans="3:8" ht="15" thickBot="1" x14ac:dyDescent="0.4">
      <c r="C313" s="347" t="s">
        <v>3</v>
      </c>
      <c r="D313" s="362"/>
      <c r="E313" s="81">
        <f>SUM(E308:E312)</f>
        <v>0.32</v>
      </c>
      <c r="F313" s="74">
        <f>SUM(F308:F312)</f>
        <v>325.28000000000003</v>
      </c>
      <c r="G313" s="88">
        <f>SUM(G308:G312)</f>
        <v>325.27999999999997</v>
      </c>
      <c r="H313" s="113">
        <f>H309+H310</f>
        <v>4.0856207306205761E-14</v>
      </c>
    </row>
    <row r="319" spans="3:8" ht="16" thickBot="1" x14ac:dyDescent="0.4">
      <c r="C319" s="346" t="s">
        <v>67</v>
      </c>
      <c r="D319" s="346"/>
      <c r="E319" s="346"/>
      <c r="F319" s="346"/>
      <c r="G319" s="346"/>
      <c r="H319" s="346"/>
    </row>
    <row r="320" spans="3:8" ht="16" thickBot="1" x14ac:dyDescent="0.4">
      <c r="C320" s="82" t="s">
        <v>25</v>
      </c>
      <c r="D320" s="104"/>
      <c r="E320" s="83" t="s">
        <v>46</v>
      </c>
      <c r="F320" s="83" t="s">
        <v>47</v>
      </c>
      <c r="G320" s="87" t="s">
        <v>5</v>
      </c>
      <c r="H320" s="89" t="s">
        <v>48</v>
      </c>
    </row>
    <row r="321" spans="3:8" x14ac:dyDescent="0.35">
      <c r="C321" s="47" t="s">
        <v>41</v>
      </c>
      <c r="D321" s="105"/>
      <c r="E321" s="80">
        <v>0.28000000000000003</v>
      </c>
      <c r="F321" s="3">
        <f>+D328*E321</f>
        <v>336000.00000000006</v>
      </c>
      <c r="G321" s="4">
        <v>400000</v>
      </c>
      <c r="H321" s="90">
        <f>+F321-G321</f>
        <v>-63999.999999999942</v>
      </c>
    </row>
    <row r="322" spans="3:8" x14ac:dyDescent="0.35">
      <c r="C322" s="27" t="s">
        <v>43</v>
      </c>
      <c r="D322" s="106"/>
      <c r="E322" s="79">
        <v>0.28000000000000003</v>
      </c>
      <c r="F322" s="3">
        <f>+D328*E322</f>
        <v>336000.00000000006</v>
      </c>
      <c r="G322" s="5"/>
      <c r="H322" s="91">
        <f t="shared" ref="H322:H324" si="40">+F322-G322</f>
        <v>336000.00000000006</v>
      </c>
    </row>
    <row r="323" spans="3:8" x14ac:dyDescent="0.35">
      <c r="C323" s="27" t="s">
        <v>45</v>
      </c>
      <c r="D323" s="106"/>
      <c r="E323" s="79">
        <v>0.28000000000000003</v>
      </c>
      <c r="F323" s="3">
        <f>+E323*D328</f>
        <v>336000.00000000006</v>
      </c>
      <c r="G323" s="5"/>
      <c r="H323" s="91">
        <f t="shared" si="40"/>
        <v>336000.00000000006</v>
      </c>
    </row>
    <row r="324" spans="3:8" x14ac:dyDescent="0.35">
      <c r="C324" s="27" t="s">
        <v>44</v>
      </c>
      <c r="D324" s="106"/>
      <c r="E324" s="79">
        <v>0.16</v>
      </c>
      <c r="F324" s="3">
        <f>+E324*D328</f>
        <v>192000</v>
      </c>
      <c r="G324" s="5">
        <v>192000</v>
      </c>
      <c r="H324" s="91">
        <f t="shared" si="40"/>
        <v>0</v>
      </c>
    </row>
    <row r="325" spans="3:8" ht="15" thickBot="1" x14ac:dyDescent="0.4">
      <c r="C325" s="71"/>
      <c r="D325" s="107"/>
      <c r="E325" s="6"/>
      <c r="F325" s="6"/>
      <c r="G325" s="7"/>
      <c r="H325" s="92"/>
    </row>
    <row r="326" spans="3:8" ht="15" thickBot="1" x14ac:dyDescent="0.4">
      <c r="C326" s="68" t="s">
        <v>3</v>
      </c>
      <c r="D326" s="108"/>
      <c r="E326" s="81"/>
      <c r="F326" s="74">
        <f>SUM(F321:F325)</f>
        <v>1200000.0000000002</v>
      </c>
      <c r="G326" s="88">
        <f>SUM(G321:G325)</f>
        <v>592000</v>
      </c>
      <c r="H326" s="93">
        <f>SUM(H321:H325)</f>
        <v>608000.00000000023</v>
      </c>
    </row>
    <row r="328" spans="3:8" x14ac:dyDescent="0.35">
      <c r="C328" t="s">
        <v>68</v>
      </c>
      <c r="D328">
        <v>1200000</v>
      </c>
    </row>
    <row r="342" spans="4:8" ht="15" thickBot="1" x14ac:dyDescent="0.4"/>
    <row r="343" spans="4:8" ht="15" thickBot="1" x14ac:dyDescent="0.4">
      <c r="D343" s="321" t="s">
        <v>25</v>
      </c>
      <c r="E343" s="322"/>
      <c r="F343" s="74" t="s">
        <v>68</v>
      </c>
      <c r="G343" s="74" t="s">
        <v>82</v>
      </c>
      <c r="H343" s="129" t="s">
        <v>83</v>
      </c>
    </row>
    <row r="344" spans="4:8" x14ac:dyDescent="0.35">
      <c r="D344" s="342" t="s">
        <v>84</v>
      </c>
      <c r="E344" s="343"/>
      <c r="F344" s="3"/>
      <c r="G344" s="3">
        <f>J258</f>
        <v>0</v>
      </c>
      <c r="H344" s="155">
        <f>F344-G344</f>
        <v>0</v>
      </c>
    </row>
    <row r="345" spans="4:8" x14ac:dyDescent="0.35">
      <c r="D345" s="344" t="s">
        <v>85</v>
      </c>
      <c r="E345" s="345"/>
      <c r="F345" s="2">
        <v>6100</v>
      </c>
      <c r="G345" s="2">
        <f>J251</f>
        <v>2379</v>
      </c>
      <c r="H345" s="154">
        <f>F345-G345</f>
        <v>3721</v>
      </c>
    </row>
    <row r="346" spans="4:8" ht="15" thickBot="1" x14ac:dyDescent="0.4">
      <c r="D346" s="319"/>
      <c r="E346" s="320"/>
      <c r="F346" s="6"/>
      <c r="G346" s="6"/>
      <c r="H346" s="15"/>
    </row>
    <row r="347" spans="4:8" ht="15" thickBot="1" x14ac:dyDescent="0.4">
      <c r="D347" s="321" t="s">
        <v>54</v>
      </c>
      <c r="E347" s="322"/>
      <c r="F347" s="74">
        <f>SUM(F344:F346)</f>
        <v>6100</v>
      </c>
      <c r="G347" s="74">
        <f>SUM(G344:G346)</f>
        <v>2379</v>
      </c>
      <c r="H347" s="129">
        <f>SUM(H344:H346)</f>
        <v>3721</v>
      </c>
    </row>
    <row r="399" spans="6:10" x14ac:dyDescent="0.35">
      <c r="F399"/>
      <c r="G399"/>
      <c r="H399"/>
      <c r="I399"/>
      <c r="J399"/>
    </row>
    <row r="400" spans="6:10" x14ac:dyDescent="0.35">
      <c r="F400"/>
      <c r="G400"/>
      <c r="H400"/>
      <c r="I400"/>
      <c r="J400"/>
    </row>
    <row r="401" spans="3:10" ht="15" thickBot="1" x14ac:dyDescent="0.4">
      <c r="E401"/>
      <c r="F401"/>
      <c r="G401"/>
      <c r="H401"/>
      <c r="I401"/>
      <c r="J401"/>
    </row>
    <row r="402" spans="3:10" ht="16" thickBot="1" x14ac:dyDescent="0.4">
      <c r="C402" s="17" t="s">
        <v>1</v>
      </c>
      <c r="D402" s="175" t="s">
        <v>44</v>
      </c>
      <c r="F402"/>
      <c r="G402"/>
      <c r="H402"/>
      <c r="I402"/>
      <c r="J402"/>
    </row>
    <row r="403" spans="3:10" x14ac:dyDescent="0.35">
      <c r="C403" s="12" t="s">
        <v>38</v>
      </c>
      <c r="D403" s="155">
        <v>268</v>
      </c>
      <c r="F403"/>
      <c r="G403"/>
      <c r="H403"/>
      <c r="I403"/>
      <c r="J403"/>
    </row>
    <row r="404" spans="3:10" x14ac:dyDescent="0.35">
      <c r="C404" s="13" t="s">
        <v>57</v>
      </c>
      <c r="D404" s="154">
        <v>2</v>
      </c>
      <c r="F404"/>
      <c r="G404"/>
      <c r="H404"/>
      <c r="I404"/>
      <c r="J404"/>
    </row>
    <row r="405" spans="3:10" x14ac:dyDescent="0.35">
      <c r="C405" s="13" t="s">
        <v>75</v>
      </c>
      <c r="D405" s="154">
        <v>150</v>
      </c>
      <c r="F405"/>
      <c r="G405"/>
      <c r="H405"/>
      <c r="I405"/>
      <c r="J405"/>
    </row>
    <row r="406" spans="3:10" x14ac:dyDescent="0.35">
      <c r="C406" s="13" t="s">
        <v>76</v>
      </c>
      <c r="D406" s="154">
        <v>50</v>
      </c>
      <c r="F406"/>
      <c r="G406"/>
      <c r="H406"/>
      <c r="I406"/>
      <c r="J406"/>
    </row>
    <row r="407" spans="3:10" x14ac:dyDescent="0.35">
      <c r="C407" s="13" t="s">
        <v>88</v>
      </c>
      <c r="D407" s="154">
        <v>375</v>
      </c>
      <c r="F407"/>
      <c r="G407"/>
      <c r="H407"/>
      <c r="I407"/>
      <c r="J407"/>
    </row>
    <row r="408" spans="3:10" x14ac:dyDescent="0.35">
      <c r="C408" s="13" t="s">
        <v>124</v>
      </c>
      <c r="D408" s="154">
        <v>25</v>
      </c>
      <c r="F408"/>
      <c r="G408"/>
      <c r="H408"/>
      <c r="I408"/>
      <c r="J408"/>
    </row>
    <row r="409" spans="3:10" x14ac:dyDescent="0.35">
      <c r="C409" s="13" t="s">
        <v>137</v>
      </c>
      <c r="D409" s="154">
        <v>40</v>
      </c>
      <c r="F409"/>
      <c r="G409"/>
      <c r="H409"/>
      <c r="I409"/>
      <c r="J409"/>
    </row>
    <row r="410" spans="3:10" x14ac:dyDescent="0.35">
      <c r="C410" s="13"/>
      <c r="D410" s="154"/>
      <c r="F410"/>
      <c r="G410"/>
      <c r="H410"/>
      <c r="I410"/>
      <c r="J410"/>
    </row>
    <row r="411" spans="3:10" ht="15" thickBot="1" x14ac:dyDescent="0.4">
      <c r="C411" s="14"/>
      <c r="D411" s="15"/>
      <c r="F411"/>
      <c r="G411"/>
      <c r="H411"/>
      <c r="I411"/>
      <c r="J411"/>
    </row>
    <row r="412" spans="3:10" ht="16" thickBot="1" x14ac:dyDescent="0.4">
      <c r="C412" s="136" t="s">
        <v>3</v>
      </c>
      <c r="D412" s="249">
        <f>SUM(D403:D411)</f>
        <v>910</v>
      </c>
      <c r="F412"/>
      <c r="G412"/>
      <c r="H412"/>
      <c r="I412"/>
      <c r="J412"/>
    </row>
    <row r="413" spans="3:10" ht="15" thickBot="1" x14ac:dyDescent="0.4">
      <c r="C413" s="54"/>
      <c r="D413" s="250"/>
      <c r="F413"/>
      <c r="G413"/>
      <c r="H413"/>
      <c r="I413"/>
      <c r="J413"/>
    </row>
    <row r="414" spans="3:10" ht="15" thickBot="1" x14ac:dyDescent="0.4">
      <c r="C414" s="50" t="s">
        <v>189</v>
      </c>
      <c r="D414" s="200">
        <f>'Short Summary'!H79</f>
        <v>965.09760000000006</v>
      </c>
      <c r="F414"/>
      <c r="G414"/>
      <c r="H414"/>
      <c r="I414"/>
      <c r="J414"/>
    </row>
    <row r="415" spans="3:10" ht="15" thickBot="1" x14ac:dyDescent="0.4">
      <c r="C415" s="54"/>
      <c r="D415" s="250"/>
      <c r="F415"/>
      <c r="G415"/>
      <c r="H415"/>
      <c r="I415"/>
      <c r="J415"/>
    </row>
    <row r="416" spans="3:10" ht="15" thickBot="1" x14ac:dyDescent="0.4">
      <c r="C416" s="251" t="s">
        <v>83</v>
      </c>
      <c r="D416" s="195">
        <f>D414-D412</f>
        <v>55.097600000000057</v>
      </c>
    </row>
  </sheetData>
  <mergeCells count="81">
    <mergeCell ref="C141:J141"/>
    <mergeCell ref="C147:J147"/>
    <mergeCell ref="D29:E29"/>
    <mergeCell ref="G16:H16"/>
    <mergeCell ref="G17:H17"/>
    <mergeCell ref="G27:H27"/>
    <mergeCell ref="G26:H26"/>
    <mergeCell ref="C85:J85"/>
    <mergeCell ref="D30:E30"/>
    <mergeCell ref="D31:E31"/>
    <mergeCell ref="D34:E34"/>
    <mergeCell ref="D33:E33"/>
    <mergeCell ref="G19:H19"/>
    <mergeCell ref="G20:H20"/>
    <mergeCell ref="G21:H21"/>
    <mergeCell ref="D81:E81"/>
    <mergeCell ref="D2:H2"/>
    <mergeCell ref="G38:H38"/>
    <mergeCell ref="G39:H39"/>
    <mergeCell ref="G18:H18"/>
    <mergeCell ref="G5:H5"/>
    <mergeCell ref="G6:H6"/>
    <mergeCell ref="G7:H7"/>
    <mergeCell ref="G8:H8"/>
    <mergeCell ref="G10:H10"/>
    <mergeCell ref="G11:H11"/>
    <mergeCell ref="G12:H12"/>
    <mergeCell ref="G13:H13"/>
    <mergeCell ref="G37:H37"/>
    <mergeCell ref="G14:H14"/>
    <mergeCell ref="G15:H15"/>
    <mergeCell ref="G24:H24"/>
    <mergeCell ref="G3:H3"/>
    <mergeCell ref="G40:H40"/>
    <mergeCell ref="G22:H22"/>
    <mergeCell ref="C242:J242"/>
    <mergeCell ref="D159:E159"/>
    <mergeCell ref="D160:E160"/>
    <mergeCell ref="D161:E161"/>
    <mergeCell ref="D162:E162"/>
    <mergeCell ref="D163:E163"/>
    <mergeCell ref="C201:J201"/>
    <mergeCell ref="C166:J166"/>
    <mergeCell ref="G4:H4"/>
    <mergeCell ref="C155:D155"/>
    <mergeCell ref="G9:H9"/>
    <mergeCell ref="C43:J43"/>
    <mergeCell ref="G23:H23"/>
    <mergeCell ref="C220:J220"/>
    <mergeCell ref="C227:J227"/>
    <mergeCell ref="C311:D311"/>
    <mergeCell ref="C312:D312"/>
    <mergeCell ref="C313:D313"/>
    <mergeCell ref="C238:D238"/>
    <mergeCell ref="C307:D307"/>
    <mergeCell ref="C308:D308"/>
    <mergeCell ref="C309:D309"/>
    <mergeCell ref="C310:D310"/>
    <mergeCell ref="C290:H290"/>
    <mergeCell ref="C306:H306"/>
    <mergeCell ref="D345:E345"/>
    <mergeCell ref="C319:H319"/>
    <mergeCell ref="C303:E303"/>
    <mergeCell ref="G295:G296"/>
    <mergeCell ref="H295:H296"/>
    <mergeCell ref="C116:J116"/>
    <mergeCell ref="D346:E346"/>
    <mergeCell ref="D347:E347"/>
    <mergeCell ref="G25:H25"/>
    <mergeCell ref="C199:J199"/>
    <mergeCell ref="D32:E32"/>
    <mergeCell ref="D77:E77"/>
    <mergeCell ref="D78:E78"/>
    <mergeCell ref="D79:E79"/>
    <mergeCell ref="D80:E80"/>
    <mergeCell ref="D82:E82"/>
    <mergeCell ref="D83:E83"/>
    <mergeCell ref="C301:E301"/>
    <mergeCell ref="C302:E302"/>
    <mergeCell ref="D343:E343"/>
    <mergeCell ref="D344:E344"/>
  </mergeCells>
  <printOptions horizontalCentered="1"/>
  <pageMargins left="0.45" right="0.45" top="0.5" bottom="0.5" header="0.3" footer="0.3"/>
  <pageSetup paperSize="9" scale="1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B50B-3115-4CE2-97EB-6BE845D0D496}">
  <dimension ref="B6:I134"/>
  <sheetViews>
    <sheetView topLeftCell="A76" zoomScale="94" workbookViewId="0">
      <selection activeCell="H61" sqref="H61"/>
    </sheetView>
  </sheetViews>
  <sheetFormatPr defaultRowHeight="14.5" x14ac:dyDescent="0.35"/>
  <cols>
    <col min="1" max="1" width="5.81640625" customWidth="1"/>
    <col min="2" max="2" width="10.36328125" bestFit="1" customWidth="1"/>
    <col min="3" max="3" width="24.36328125" style="1" customWidth="1"/>
    <col min="4" max="4" width="10.453125" style="1" bestFit="1" customWidth="1"/>
    <col min="5" max="6" width="9.36328125" style="1" bestFit="1" customWidth="1"/>
    <col min="7" max="7" width="10.453125" style="1" bestFit="1" customWidth="1"/>
    <col min="8" max="8" width="9.36328125" style="1" bestFit="1" customWidth="1"/>
    <col min="9" max="9" width="10.453125" style="1" bestFit="1" customWidth="1"/>
    <col min="10" max="10" width="3.36328125" customWidth="1"/>
  </cols>
  <sheetData>
    <row r="6" spans="2:9" ht="15" thickBot="1" x14ac:dyDescent="0.4"/>
    <row r="7" spans="2:9" x14ac:dyDescent="0.35">
      <c r="D7" s="391" t="s">
        <v>114</v>
      </c>
      <c r="E7" s="381"/>
      <c r="F7" s="381"/>
      <c r="G7" s="381">
        <v>1013186000</v>
      </c>
      <c r="H7" s="382"/>
    </row>
    <row r="8" spans="2:9" ht="15" thickBot="1" x14ac:dyDescent="0.4">
      <c r="D8" s="392" t="s">
        <v>104</v>
      </c>
      <c r="E8" s="383"/>
      <c r="F8" s="383"/>
      <c r="G8" s="383">
        <v>265000000</v>
      </c>
      <c r="H8" s="384"/>
    </row>
    <row r="9" spans="2:9" ht="15" thickBot="1" x14ac:dyDescent="0.4">
      <c r="D9" s="393" t="s">
        <v>105</v>
      </c>
      <c r="E9" s="385"/>
      <c r="F9" s="385"/>
      <c r="G9" s="385">
        <f>G7-G8</f>
        <v>748186000</v>
      </c>
      <c r="H9" s="386"/>
    </row>
    <row r="10" spans="2:9" x14ac:dyDescent="0.35">
      <c r="D10" s="394" t="s">
        <v>109</v>
      </c>
      <c r="E10" s="387"/>
      <c r="F10" s="387"/>
      <c r="G10" s="387">
        <v>145000000</v>
      </c>
      <c r="H10" s="388"/>
    </row>
    <row r="11" spans="2:9" ht="15" thickBot="1" x14ac:dyDescent="0.4">
      <c r="B11" s="24"/>
      <c r="D11" s="395" t="s">
        <v>111</v>
      </c>
      <c r="E11" s="389"/>
      <c r="F11" s="389"/>
      <c r="G11" s="389">
        <f>+G9-G10</f>
        <v>603186000</v>
      </c>
      <c r="H11" s="390"/>
    </row>
    <row r="14" spans="2:9" ht="15" thickBot="1" x14ac:dyDescent="0.4">
      <c r="C14" s="378" t="s">
        <v>108</v>
      </c>
      <c r="D14" s="378"/>
      <c r="E14" s="378"/>
      <c r="F14" s="378"/>
      <c r="G14" s="378"/>
      <c r="H14" s="378"/>
      <c r="I14" s="378"/>
    </row>
    <row r="15" spans="2:9" ht="16" thickBot="1" x14ac:dyDescent="0.4">
      <c r="C15" s="17" t="s">
        <v>25</v>
      </c>
      <c r="D15" s="18" t="s">
        <v>41</v>
      </c>
      <c r="E15" s="18" t="s">
        <v>40</v>
      </c>
      <c r="F15" s="18" t="s">
        <v>42</v>
      </c>
      <c r="G15" s="18" t="s">
        <v>43</v>
      </c>
      <c r="H15" s="18" t="s">
        <v>44</v>
      </c>
      <c r="I15" s="175" t="s">
        <v>3</v>
      </c>
    </row>
    <row r="16" spans="2:9" x14ac:dyDescent="0.35">
      <c r="C16" s="12" t="s">
        <v>106</v>
      </c>
      <c r="D16" s="80">
        <v>0.28000000000000003</v>
      </c>
      <c r="E16" s="80">
        <v>0.14000000000000001</v>
      </c>
      <c r="F16" s="80">
        <v>0.14000000000000001</v>
      </c>
      <c r="G16" s="80">
        <v>0.28000000000000003</v>
      </c>
      <c r="H16" s="80">
        <v>0.16</v>
      </c>
      <c r="I16" s="155">
        <f>+SUM(D16:H16)</f>
        <v>1</v>
      </c>
    </row>
    <row r="17" spans="3:9" ht="15" thickBot="1" x14ac:dyDescent="0.4">
      <c r="C17" s="14"/>
      <c r="D17" s="6"/>
      <c r="E17" s="6"/>
      <c r="F17" s="6"/>
      <c r="G17" s="6"/>
      <c r="H17" s="6"/>
      <c r="I17" s="15"/>
    </row>
    <row r="18" spans="3:9" ht="15" thickBot="1" x14ac:dyDescent="0.4">
      <c r="C18" s="186" t="s">
        <v>107</v>
      </c>
      <c r="D18" s="187">
        <f>+G8*D16</f>
        <v>74200000</v>
      </c>
      <c r="E18" s="187">
        <f>+G8*E16</f>
        <v>37100000</v>
      </c>
      <c r="F18" s="187">
        <f>+G8*F16</f>
        <v>37100000</v>
      </c>
      <c r="G18" s="187">
        <f>+G8*G16</f>
        <v>74200000</v>
      </c>
      <c r="H18" s="187">
        <f>+G8*H16</f>
        <v>42400000</v>
      </c>
      <c r="I18" s="188">
        <f>+SUM(D18:H18)</f>
        <v>265000000</v>
      </c>
    </row>
    <row r="21" spans="3:9" ht="15" thickBot="1" x14ac:dyDescent="0.4">
      <c r="C21" s="379" t="s">
        <v>110</v>
      </c>
      <c r="D21" s="379"/>
      <c r="E21" s="379"/>
      <c r="F21" s="379"/>
      <c r="G21" s="379"/>
      <c r="H21" s="379"/>
      <c r="I21" s="379"/>
    </row>
    <row r="22" spans="3:9" ht="16" thickBot="1" x14ac:dyDescent="0.4">
      <c r="C22" s="17" t="s">
        <v>25</v>
      </c>
      <c r="D22" s="18" t="s">
        <v>41</v>
      </c>
      <c r="E22" s="18" t="s">
        <v>40</v>
      </c>
      <c r="F22" s="18" t="s">
        <v>42</v>
      </c>
      <c r="G22" s="18" t="s">
        <v>43</v>
      </c>
      <c r="H22" s="18" t="s">
        <v>44</v>
      </c>
      <c r="I22" s="175" t="s">
        <v>3</v>
      </c>
    </row>
    <row r="23" spans="3:9" x14ac:dyDescent="0.35">
      <c r="C23" s="12" t="s">
        <v>106</v>
      </c>
      <c r="D23" s="80">
        <v>0.28000000000000003</v>
      </c>
      <c r="E23" s="80">
        <v>0.14000000000000001</v>
      </c>
      <c r="F23" s="80">
        <v>0.14000000000000001</v>
      </c>
      <c r="G23" s="80">
        <v>0.28000000000000003</v>
      </c>
      <c r="H23" s="80">
        <v>0.16</v>
      </c>
      <c r="I23" s="155">
        <f>+SUM(D23:H23)</f>
        <v>1</v>
      </c>
    </row>
    <row r="24" spans="3:9" ht="15" thickBot="1" x14ac:dyDescent="0.4">
      <c r="C24" s="14"/>
      <c r="D24" s="6"/>
      <c r="E24" s="6"/>
      <c r="F24" s="6"/>
      <c r="G24" s="6"/>
      <c r="H24" s="6"/>
      <c r="I24" s="15"/>
    </row>
    <row r="25" spans="3:9" ht="15" thickBot="1" x14ac:dyDescent="0.4">
      <c r="C25" s="179" t="s">
        <v>107</v>
      </c>
      <c r="D25" s="45">
        <f>+G10*D23</f>
        <v>40600000.000000007</v>
      </c>
      <c r="E25" s="45">
        <f>+G10*E23</f>
        <v>20300000.000000004</v>
      </c>
      <c r="F25" s="45">
        <f>+G10*F23</f>
        <v>20300000.000000004</v>
      </c>
      <c r="G25" s="45">
        <f>+G10*G23</f>
        <v>40600000.000000007</v>
      </c>
      <c r="H25" s="45">
        <f>+G10*H23</f>
        <v>23200000</v>
      </c>
      <c r="I25" s="180">
        <f>+SUM(D25:H25)</f>
        <v>145000000.00000003</v>
      </c>
    </row>
    <row r="26" spans="3:9" x14ac:dyDescent="0.35">
      <c r="C26" s="182"/>
      <c r="D26" s="183"/>
      <c r="E26" s="183"/>
      <c r="F26" s="183"/>
      <c r="G26" s="183"/>
      <c r="H26" s="183"/>
      <c r="I26" s="184"/>
    </row>
    <row r="27" spans="3:9" x14ac:dyDescent="0.35">
      <c r="C27" s="191" t="s">
        <v>5</v>
      </c>
      <c r="D27" s="181">
        <f>Summary!E110</f>
        <v>129100000</v>
      </c>
      <c r="E27" s="181">
        <f>Summary!F110</f>
        <v>31226160</v>
      </c>
      <c r="F27" s="181">
        <f>Summary!G110</f>
        <v>62700000</v>
      </c>
      <c r="G27" s="181">
        <f>Summary!H110</f>
        <v>160273840</v>
      </c>
      <c r="H27" s="181">
        <f>Summary!I110</f>
        <v>73861000</v>
      </c>
      <c r="I27" s="127">
        <f>+SUM(D27:H27)</f>
        <v>457161000</v>
      </c>
    </row>
    <row r="28" spans="3:9" ht="15" thickBot="1" x14ac:dyDescent="0.4">
      <c r="C28" s="176"/>
      <c r="D28" s="177"/>
      <c r="E28" s="177"/>
      <c r="F28" s="177"/>
      <c r="G28" s="177"/>
      <c r="H28" s="177"/>
      <c r="I28" s="178"/>
    </row>
    <row r="29" spans="3:9" ht="15" thickBot="1" x14ac:dyDescent="0.4">
      <c r="C29" s="189" t="s">
        <v>48</v>
      </c>
      <c r="D29" s="190">
        <f>D25-D27</f>
        <v>-88500000</v>
      </c>
      <c r="E29" s="190">
        <f t="shared" ref="E29:I29" si="0">E25-E27</f>
        <v>-10926159.999999996</v>
      </c>
      <c r="F29" s="190">
        <f t="shared" si="0"/>
        <v>-42400000</v>
      </c>
      <c r="G29" s="190">
        <f t="shared" si="0"/>
        <v>-119673840</v>
      </c>
      <c r="H29" s="190">
        <f t="shared" si="0"/>
        <v>-50661000</v>
      </c>
      <c r="I29" s="190">
        <f t="shared" si="0"/>
        <v>-312161000</v>
      </c>
    </row>
    <row r="32" spans="3:9" ht="15" thickBot="1" x14ac:dyDescent="0.4">
      <c r="C32" s="380" t="s">
        <v>112</v>
      </c>
      <c r="D32" s="380"/>
      <c r="E32" s="380"/>
      <c r="F32" s="380"/>
      <c r="G32" s="380"/>
      <c r="H32" s="380"/>
      <c r="I32" s="380"/>
    </row>
    <row r="33" spans="3:9" ht="16" thickBot="1" x14ac:dyDescent="0.4">
      <c r="C33" s="17" t="s">
        <v>25</v>
      </c>
      <c r="D33" s="18" t="s">
        <v>41</v>
      </c>
      <c r="E33" s="18" t="s">
        <v>40</v>
      </c>
      <c r="F33" s="18" t="s">
        <v>42</v>
      </c>
      <c r="G33" s="18" t="s">
        <v>43</v>
      </c>
      <c r="H33" s="18" t="s">
        <v>44</v>
      </c>
      <c r="I33" s="175" t="s">
        <v>3</v>
      </c>
    </row>
    <row r="34" spans="3:9" x14ac:dyDescent="0.35">
      <c r="C34" s="12" t="s">
        <v>106</v>
      </c>
      <c r="D34" s="80">
        <v>0.28000000000000003</v>
      </c>
      <c r="E34" s="80">
        <v>0.14000000000000001</v>
      </c>
      <c r="F34" s="80">
        <v>0.14000000000000001</v>
      </c>
      <c r="G34" s="80">
        <v>0.28000000000000003</v>
      </c>
      <c r="H34" s="80">
        <v>0.16</v>
      </c>
      <c r="I34" s="185">
        <f>+SUM(D34:H34)</f>
        <v>1</v>
      </c>
    </row>
    <row r="35" spans="3:9" ht="15" thickBot="1" x14ac:dyDescent="0.4">
      <c r="C35" s="14"/>
      <c r="D35" s="6"/>
      <c r="E35" s="6"/>
      <c r="F35" s="6"/>
      <c r="G35" s="6"/>
      <c r="H35" s="6"/>
      <c r="I35" s="15"/>
    </row>
    <row r="36" spans="3:9" ht="15" thickBot="1" x14ac:dyDescent="0.4">
      <c r="C36" s="179" t="s">
        <v>47</v>
      </c>
      <c r="D36" s="45">
        <f>+G11*D34</f>
        <v>168892080.00000003</v>
      </c>
      <c r="E36" s="45">
        <f>+G11*E34</f>
        <v>84446040.000000015</v>
      </c>
      <c r="F36" s="45">
        <f>+G11*F34</f>
        <v>84446040.000000015</v>
      </c>
      <c r="G36" s="45">
        <f>+G11*G34</f>
        <v>168892080.00000003</v>
      </c>
      <c r="H36" s="45">
        <f>+G11*H34</f>
        <v>96509760</v>
      </c>
      <c r="I36" s="180">
        <f>+SUM(D36:H36)</f>
        <v>603186000.00000012</v>
      </c>
    </row>
    <row r="37" spans="3:9" x14ac:dyDescent="0.35">
      <c r="C37" s="182"/>
      <c r="D37" s="183"/>
      <c r="E37" s="183"/>
      <c r="F37" s="183"/>
      <c r="G37" s="183"/>
      <c r="H37" s="183"/>
      <c r="I37" s="184"/>
    </row>
    <row r="38" spans="3:9" x14ac:dyDescent="0.35">
      <c r="C38" s="13" t="s">
        <v>5</v>
      </c>
      <c r="D38" s="2">
        <f>Summary!E72</f>
        <v>168892000</v>
      </c>
      <c r="E38" s="2">
        <f>Summary!F72</f>
        <v>84446040</v>
      </c>
      <c r="F38" s="2">
        <f>Summary!G72</f>
        <v>84446040</v>
      </c>
      <c r="G38" s="2">
        <f>Summary!H72</f>
        <v>168891960</v>
      </c>
      <c r="H38" s="2">
        <f>Summary!I72</f>
        <v>96510000</v>
      </c>
      <c r="I38" s="127">
        <f>+SUM(D38:H38)</f>
        <v>603186040</v>
      </c>
    </row>
    <row r="39" spans="3:9" ht="15" thickBot="1" x14ac:dyDescent="0.4">
      <c r="C39" s="174"/>
      <c r="D39" s="31"/>
      <c r="E39" s="31"/>
      <c r="F39" s="31"/>
      <c r="G39" s="31"/>
      <c r="H39" s="31"/>
      <c r="I39" s="178"/>
    </row>
    <row r="40" spans="3:9" ht="15" thickBot="1" x14ac:dyDescent="0.4">
      <c r="C40" s="189" t="s">
        <v>48</v>
      </c>
      <c r="D40" s="190">
        <f>D36-D38</f>
        <v>80.000000029802322</v>
      </c>
      <c r="E40" s="190">
        <f t="shared" ref="E40:I40" si="1">E36-E38</f>
        <v>0</v>
      </c>
      <c r="F40" s="190">
        <f t="shared" si="1"/>
        <v>0</v>
      </c>
      <c r="G40" s="190">
        <f t="shared" si="1"/>
        <v>120.00000002980232</v>
      </c>
      <c r="H40" s="190">
        <f t="shared" si="1"/>
        <v>-240</v>
      </c>
      <c r="I40" s="192">
        <f t="shared" si="1"/>
        <v>-39.99999988079071</v>
      </c>
    </row>
    <row r="41" spans="3:9" ht="15" thickBot="1" x14ac:dyDescent="0.4"/>
    <row r="42" spans="3:9" s="24" customFormat="1" ht="15" thickBot="1" x14ac:dyDescent="0.4">
      <c r="C42" s="193" t="s">
        <v>113</v>
      </c>
      <c r="D42" s="194">
        <f t="shared" ref="D42:I42" si="2">+D29+D40</f>
        <v>-88499919.99999997</v>
      </c>
      <c r="E42" s="194">
        <f t="shared" si="2"/>
        <v>-10926159.999999996</v>
      </c>
      <c r="F42" s="194">
        <f t="shared" si="2"/>
        <v>-42400000</v>
      </c>
      <c r="G42" s="194">
        <f t="shared" si="2"/>
        <v>-119673719.99999997</v>
      </c>
      <c r="H42" s="194">
        <f t="shared" si="2"/>
        <v>-50661240</v>
      </c>
      <c r="I42" s="195">
        <f t="shared" si="2"/>
        <v>-312161039.99999988</v>
      </c>
    </row>
    <row r="49" spans="3:9" ht="15" thickBot="1" x14ac:dyDescent="0.4"/>
    <row r="50" spans="3:9" x14ac:dyDescent="0.35">
      <c r="D50" s="391" t="s">
        <v>114</v>
      </c>
      <c r="E50" s="381"/>
      <c r="F50" s="381"/>
      <c r="G50" s="381">
        <f>1013186000/100000</f>
        <v>10131.86</v>
      </c>
      <c r="H50" s="382"/>
    </row>
    <row r="51" spans="3:9" ht="15" thickBot="1" x14ac:dyDescent="0.4">
      <c r="D51" s="392" t="s">
        <v>104</v>
      </c>
      <c r="E51" s="383"/>
      <c r="F51" s="383"/>
      <c r="G51" s="383">
        <f>265000000/100000</f>
        <v>2650</v>
      </c>
      <c r="H51" s="384"/>
    </row>
    <row r="52" spans="3:9" ht="15" thickBot="1" x14ac:dyDescent="0.4">
      <c r="D52" s="393" t="s">
        <v>105</v>
      </c>
      <c r="E52" s="385"/>
      <c r="F52" s="385"/>
      <c r="G52" s="385">
        <f>G50-G51</f>
        <v>7481.8600000000006</v>
      </c>
      <c r="H52" s="386"/>
    </row>
    <row r="53" spans="3:9" x14ac:dyDescent="0.35">
      <c r="D53" s="394" t="s">
        <v>109</v>
      </c>
      <c r="E53" s="387"/>
      <c r="F53" s="387"/>
      <c r="G53" s="387">
        <f>145000000/100000</f>
        <v>1450</v>
      </c>
      <c r="H53" s="388"/>
    </row>
    <row r="54" spans="3:9" ht="15" thickBot="1" x14ac:dyDescent="0.4">
      <c r="D54" s="395" t="s">
        <v>111</v>
      </c>
      <c r="E54" s="389"/>
      <c r="F54" s="389"/>
      <c r="G54" s="389">
        <f>+G52-G53</f>
        <v>6031.8600000000006</v>
      </c>
      <c r="H54" s="390"/>
    </row>
    <row r="57" spans="3:9" ht="15" thickBot="1" x14ac:dyDescent="0.4">
      <c r="C57" s="378" t="s">
        <v>108</v>
      </c>
      <c r="D57" s="378"/>
      <c r="E57" s="378"/>
      <c r="F57" s="378"/>
      <c r="G57" s="378"/>
      <c r="H57" s="378"/>
      <c r="I57" s="378"/>
    </row>
    <row r="58" spans="3:9" ht="16" thickBot="1" x14ac:dyDescent="0.4">
      <c r="C58" s="17" t="s">
        <v>25</v>
      </c>
      <c r="D58" s="18" t="s">
        <v>41</v>
      </c>
      <c r="E58" s="18" t="s">
        <v>40</v>
      </c>
      <c r="F58" s="18" t="s">
        <v>42</v>
      </c>
      <c r="G58" s="18" t="s">
        <v>43</v>
      </c>
      <c r="H58" s="18" t="s">
        <v>44</v>
      </c>
      <c r="I58" s="175" t="s">
        <v>3</v>
      </c>
    </row>
    <row r="59" spans="3:9" x14ac:dyDescent="0.35">
      <c r="C59" s="12" t="s">
        <v>106</v>
      </c>
      <c r="D59" s="80">
        <v>0.28000000000000003</v>
      </c>
      <c r="E59" s="80">
        <v>7.0000000000000007E-2</v>
      </c>
      <c r="F59" s="80">
        <v>0.14000000000000001</v>
      </c>
      <c r="G59" s="80">
        <v>0.35</v>
      </c>
      <c r="H59" s="80">
        <v>0.16</v>
      </c>
      <c r="I59" s="155">
        <f>+SUM(D59:H59)</f>
        <v>1</v>
      </c>
    </row>
    <row r="60" spans="3:9" ht="15" thickBot="1" x14ac:dyDescent="0.4">
      <c r="C60" s="14"/>
      <c r="D60" s="6"/>
      <c r="E60" s="6"/>
      <c r="F60" s="6"/>
      <c r="G60" s="6"/>
      <c r="H60" s="6"/>
      <c r="I60" s="15"/>
    </row>
    <row r="61" spans="3:9" ht="15" thickBot="1" x14ac:dyDescent="0.4">
      <c r="C61" s="186" t="s">
        <v>107</v>
      </c>
      <c r="D61" s="187">
        <f>+G51*D59</f>
        <v>742.00000000000011</v>
      </c>
      <c r="E61" s="187">
        <f>+G51*E59</f>
        <v>185.50000000000003</v>
      </c>
      <c r="F61" s="187">
        <f>+G51*F59</f>
        <v>371.00000000000006</v>
      </c>
      <c r="G61" s="187">
        <f>+G51*G59</f>
        <v>927.49999999999989</v>
      </c>
      <c r="H61" s="187">
        <f>+G51*H59</f>
        <v>424</v>
      </c>
      <c r="I61" s="188">
        <f>+SUM(D61:H61)</f>
        <v>2650</v>
      </c>
    </row>
    <row r="64" spans="3:9" ht="15" thickBot="1" x14ac:dyDescent="0.4">
      <c r="C64" s="379" t="s">
        <v>110</v>
      </c>
      <c r="D64" s="379"/>
      <c r="E64" s="379"/>
      <c r="F64" s="379"/>
      <c r="G64" s="379"/>
      <c r="H64" s="379"/>
      <c r="I64" s="379"/>
    </row>
    <row r="65" spans="3:9" ht="16" thickBot="1" x14ac:dyDescent="0.4">
      <c r="C65" s="17" t="s">
        <v>25</v>
      </c>
      <c r="D65" s="18" t="s">
        <v>41</v>
      </c>
      <c r="E65" s="18" t="s">
        <v>40</v>
      </c>
      <c r="F65" s="18" t="s">
        <v>42</v>
      </c>
      <c r="G65" s="18" t="s">
        <v>43</v>
      </c>
      <c r="H65" s="18" t="s">
        <v>44</v>
      </c>
      <c r="I65" s="175" t="s">
        <v>3</v>
      </c>
    </row>
    <row r="66" spans="3:9" x14ac:dyDescent="0.35">
      <c r="C66" s="12" t="s">
        <v>106</v>
      </c>
      <c r="D66" s="80">
        <v>0.28000000000000003</v>
      </c>
      <c r="E66" s="80">
        <v>0.14000000000000001</v>
      </c>
      <c r="F66" s="80">
        <v>0.14000000000000001</v>
      </c>
      <c r="G66" s="80">
        <v>0.28000000000000003</v>
      </c>
      <c r="H66" s="80">
        <v>0.16</v>
      </c>
      <c r="I66" s="155">
        <f>+SUM(D66:H66)</f>
        <v>1</v>
      </c>
    </row>
    <row r="67" spans="3:9" ht="15" thickBot="1" x14ac:dyDescent="0.4">
      <c r="C67" s="14"/>
      <c r="D67" s="6"/>
      <c r="E67" s="6"/>
      <c r="F67" s="6"/>
      <c r="G67" s="6"/>
      <c r="H67" s="6"/>
      <c r="I67" s="15"/>
    </row>
    <row r="68" spans="3:9" ht="15" thickBot="1" x14ac:dyDescent="0.4">
      <c r="C68" s="179" t="s">
        <v>107</v>
      </c>
      <c r="D68" s="45">
        <f>+G53*D66</f>
        <v>406.00000000000006</v>
      </c>
      <c r="E68" s="45">
        <f>+G53*E66</f>
        <v>203.00000000000003</v>
      </c>
      <c r="F68" s="45">
        <f>+G53*F66</f>
        <v>203.00000000000003</v>
      </c>
      <c r="G68" s="45">
        <f>+G53*G66</f>
        <v>406.00000000000006</v>
      </c>
      <c r="H68" s="45">
        <f>+G53*H66</f>
        <v>232</v>
      </c>
      <c r="I68" s="180">
        <f>+SUM(D68:H68)</f>
        <v>1450.0000000000002</v>
      </c>
    </row>
    <row r="69" spans="3:9" x14ac:dyDescent="0.35">
      <c r="C69" s="182"/>
      <c r="D69" s="183"/>
      <c r="E69" s="183"/>
      <c r="F69" s="183"/>
      <c r="G69" s="183"/>
      <c r="H69" s="183"/>
      <c r="I69" s="184"/>
    </row>
    <row r="70" spans="3:9" x14ac:dyDescent="0.35">
      <c r="C70" s="191" t="s">
        <v>5</v>
      </c>
      <c r="D70" s="181">
        <f>Summary!E230</f>
        <v>406</v>
      </c>
      <c r="E70" s="181">
        <f>Summary!F230</f>
        <v>203</v>
      </c>
      <c r="F70" s="181">
        <f>Summary!G230</f>
        <v>203</v>
      </c>
      <c r="G70" s="181">
        <f>Summary!H230</f>
        <v>406</v>
      </c>
      <c r="H70" s="181">
        <f>Summary!I230</f>
        <v>290</v>
      </c>
      <c r="I70" s="127">
        <f>+SUM(D70:H70)</f>
        <v>1508</v>
      </c>
    </row>
    <row r="71" spans="3:9" ht="15" thickBot="1" x14ac:dyDescent="0.4">
      <c r="C71" s="176"/>
      <c r="D71" s="177"/>
      <c r="E71" s="177"/>
      <c r="F71" s="177"/>
      <c r="G71" s="177"/>
      <c r="H71" s="177"/>
      <c r="I71" s="178"/>
    </row>
    <row r="72" spans="3:9" ht="15" thickBot="1" x14ac:dyDescent="0.4">
      <c r="C72" s="189" t="s">
        <v>48</v>
      </c>
      <c r="D72" s="190">
        <f>D68-D70</f>
        <v>0</v>
      </c>
      <c r="E72" s="190">
        <f t="shared" ref="E72" si="3">E68-E70</f>
        <v>0</v>
      </c>
      <c r="F72" s="190">
        <f t="shared" ref="F72" si="4">F68-F70</f>
        <v>0</v>
      </c>
      <c r="G72" s="190">
        <f t="shared" ref="G72" si="5">G68-G70</f>
        <v>0</v>
      </c>
      <c r="H72" s="190">
        <f t="shared" ref="H72" si="6">H68-H70</f>
        <v>-58</v>
      </c>
      <c r="I72" s="190">
        <f t="shared" ref="I72" si="7">I68-I70</f>
        <v>-57.999999999999773</v>
      </c>
    </row>
    <row r="75" spans="3:9" ht="15" thickBot="1" x14ac:dyDescent="0.4">
      <c r="C75" s="380" t="s">
        <v>112</v>
      </c>
      <c r="D75" s="380"/>
      <c r="E75" s="380"/>
      <c r="F75" s="380"/>
      <c r="G75" s="380"/>
      <c r="H75" s="380"/>
      <c r="I75" s="380"/>
    </row>
    <row r="76" spans="3:9" ht="16" thickBot="1" x14ac:dyDescent="0.4">
      <c r="C76" s="17" t="s">
        <v>25</v>
      </c>
      <c r="D76" s="18" t="s">
        <v>41</v>
      </c>
      <c r="E76" s="18" t="s">
        <v>40</v>
      </c>
      <c r="F76" s="18" t="s">
        <v>42</v>
      </c>
      <c r="G76" s="18" t="s">
        <v>43</v>
      </c>
      <c r="H76" s="18" t="s">
        <v>44</v>
      </c>
      <c r="I76" s="175" t="s">
        <v>3</v>
      </c>
    </row>
    <row r="77" spans="3:9" x14ac:dyDescent="0.35">
      <c r="C77" s="12" t="s">
        <v>106</v>
      </c>
      <c r="D77" s="80">
        <v>0.28000000000000003</v>
      </c>
      <c r="E77" s="80">
        <v>0.14000000000000001</v>
      </c>
      <c r="F77" s="80">
        <v>0.14000000000000001</v>
      </c>
      <c r="G77" s="80">
        <v>0.28000000000000003</v>
      </c>
      <c r="H77" s="80">
        <v>0.16</v>
      </c>
      <c r="I77" s="185">
        <f>+SUM(D77:H77)</f>
        <v>1</v>
      </c>
    </row>
    <row r="78" spans="3:9" ht="15" thickBot="1" x14ac:dyDescent="0.4">
      <c r="C78" s="14"/>
      <c r="D78" s="6"/>
      <c r="E78" s="6"/>
      <c r="F78" s="6"/>
      <c r="G78" s="6"/>
      <c r="H78" s="6"/>
      <c r="I78" s="15"/>
    </row>
    <row r="79" spans="3:9" ht="15" thickBot="1" x14ac:dyDescent="0.4">
      <c r="C79" s="179" t="s">
        <v>47</v>
      </c>
      <c r="D79" s="45">
        <f>+G54*D77</f>
        <v>1688.9208000000003</v>
      </c>
      <c r="E79" s="45">
        <f>+G54*E77</f>
        <v>844.46040000000016</v>
      </c>
      <c r="F79" s="45">
        <f>+G54*F77</f>
        <v>844.46040000000016</v>
      </c>
      <c r="G79" s="45">
        <f>+G54*G77</f>
        <v>1688.9208000000003</v>
      </c>
      <c r="H79" s="45">
        <f>+G54*H77</f>
        <v>965.09760000000006</v>
      </c>
      <c r="I79" s="180">
        <f>+SUM(D79:H79)</f>
        <v>6031.8600000000015</v>
      </c>
    </row>
    <row r="80" spans="3:9" x14ac:dyDescent="0.35">
      <c r="C80" s="182"/>
      <c r="D80" s="183"/>
      <c r="E80" s="183"/>
      <c r="F80" s="183"/>
      <c r="G80" s="183"/>
      <c r="H80" s="183"/>
      <c r="I80" s="184"/>
    </row>
    <row r="81" spans="3:9" x14ac:dyDescent="0.35">
      <c r="C81" s="13" t="s">
        <v>5</v>
      </c>
      <c r="D81" s="2">
        <f>Summary!E223</f>
        <v>1688.9199999999998</v>
      </c>
      <c r="E81" s="2">
        <f>Summary!F223</f>
        <v>844.46040000000005</v>
      </c>
      <c r="F81" s="2">
        <f>Summary!G223</f>
        <v>844.46040000000005</v>
      </c>
      <c r="G81" s="2">
        <f>Summary!H223</f>
        <v>1688.9196000000002</v>
      </c>
      <c r="H81" s="2">
        <f>Summary!I223</f>
        <v>965.1</v>
      </c>
      <c r="I81" s="127">
        <f>+SUM(D81:H81)</f>
        <v>6031.8604000000005</v>
      </c>
    </row>
    <row r="82" spans="3:9" ht="15" thickBot="1" x14ac:dyDescent="0.4">
      <c r="C82" s="174"/>
      <c r="D82" s="31"/>
      <c r="E82" s="31"/>
      <c r="F82" s="31"/>
      <c r="G82" s="31"/>
      <c r="H82" s="31"/>
      <c r="I82" s="178"/>
    </row>
    <row r="83" spans="3:9" ht="15" thickBot="1" x14ac:dyDescent="0.4">
      <c r="C83" s="201" t="s">
        <v>48</v>
      </c>
      <c r="D83" s="202">
        <f>D79-D81</f>
        <v>8.000000004813046E-4</v>
      </c>
      <c r="E83" s="202">
        <f t="shared" ref="E83" si="8">E79-E81</f>
        <v>0</v>
      </c>
      <c r="F83" s="202">
        <f t="shared" ref="F83" si="9">F79-F81</f>
        <v>0</v>
      </c>
      <c r="G83" s="202">
        <f t="shared" ref="G83" si="10">G79-G81</f>
        <v>1.2000000001535227E-3</v>
      </c>
      <c r="H83" s="202">
        <f t="shared" ref="H83" si="11">H79-H81</f>
        <v>-2.3999999999659849E-3</v>
      </c>
      <c r="I83" s="203">
        <f t="shared" ref="I83" si="12">I79-I81</f>
        <v>-3.9999999899009708E-4</v>
      </c>
    </row>
    <row r="84" spans="3:9" ht="15" thickBot="1" x14ac:dyDescent="0.4"/>
    <row r="85" spans="3:9" s="109" customFormat="1" ht="15" thickBot="1" x14ac:dyDescent="0.4">
      <c r="C85" s="196" t="s">
        <v>125</v>
      </c>
      <c r="D85" s="197">
        <f t="shared" ref="D85:I85" si="13">+D72+D83</f>
        <v>8.000000004813046E-4</v>
      </c>
      <c r="E85" s="197">
        <f t="shared" si="13"/>
        <v>0</v>
      </c>
      <c r="F85" s="197">
        <f t="shared" si="13"/>
        <v>0</v>
      </c>
      <c r="G85" s="197">
        <f t="shared" si="13"/>
        <v>1.2000000001535227E-3</v>
      </c>
      <c r="H85" s="197">
        <f t="shared" si="13"/>
        <v>-58.002399999999966</v>
      </c>
      <c r="I85" s="198">
        <f t="shared" si="13"/>
        <v>-58.000399999998763</v>
      </c>
    </row>
    <row r="102" spans="2:5" ht="15" thickBot="1" x14ac:dyDescent="0.4"/>
    <row r="103" spans="2:5" x14ac:dyDescent="0.35">
      <c r="C103" s="172" t="s">
        <v>180</v>
      </c>
      <c r="D103" s="98">
        <v>406</v>
      </c>
    </row>
    <row r="104" spans="2:5" ht="15" thickBot="1" x14ac:dyDescent="0.4">
      <c r="C104" s="14" t="s">
        <v>188</v>
      </c>
      <c r="D104" s="15">
        <f>D121</f>
        <v>314.72000000000003</v>
      </c>
    </row>
    <row r="105" spans="2:5" ht="16" thickBot="1" x14ac:dyDescent="0.4">
      <c r="C105" s="193" t="s">
        <v>48</v>
      </c>
      <c r="D105" s="157">
        <f>+D103-D104</f>
        <v>91.279999999999973</v>
      </c>
    </row>
    <row r="107" spans="2:5" ht="15" thickBot="1" x14ac:dyDescent="0.4"/>
    <row r="108" spans="2:5" ht="15" thickBot="1" x14ac:dyDescent="0.4">
      <c r="B108" s="173" t="s">
        <v>1</v>
      </c>
      <c r="C108" s="74" t="s">
        <v>25</v>
      </c>
      <c r="D108" s="74" t="s">
        <v>181</v>
      </c>
      <c r="E108" s="129" t="s">
        <v>182</v>
      </c>
    </row>
    <row r="109" spans="2:5" x14ac:dyDescent="0.35">
      <c r="B109" s="12" t="s">
        <v>59</v>
      </c>
      <c r="C109" s="220" t="s">
        <v>152</v>
      </c>
      <c r="D109" s="3">
        <v>114.72</v>
      </c>
      <c r="E109" s="155">
        <v>0</v>
      </c>
    </row>
    <row r="110" spans="2:5" x14ac:dyDescent="0.35">
      <c r="B110" s="13" t="s">
        <v>147</v>
      </c>
      <c r="C110" s="218" t="s">
        <v>183</v>
      </c>
      <c r="D110" s="2">
        <v>0</v>
      </c>
      <c r="E110" s="154">
        <v>100</v>
      </c>
    </row>
    <row r="111" spans="2:5" x14ac:dyDescent="0.35">
      <c r="B111" s="13" t="s">
        <v>148</v>
      </c>
      <c r="C111" s="218" t="s">
        <v>139</v>
      </c>
      <c r="D111" s="2">
        <v>100</v>
      </c>
      <c r="E111" s="154">
        <v>0</v>
      </c>
    </row>
    <row r="112" spans="2:5" x14ac:dyDescent="0.35">
      <c r="B112" s="13" t="s">
        <v>141</v>
      </c>
      <c r="C112" s="218" t="s">
        <v>139</v>
      </c>
      <c r="D112" s="2">
        <v>100</v>
      </c>
      <c r="E112" s="154">
        <v>0</v>
      </c>
    </row>
    <row r="113" spans="2:9" x14ac:dyDescent="0.35">
      <c r="B113" s="13" t="s">
        <v>146</v>
      </c>
      <c r="C113" s="218" t="s">
        <v>184</v>
      </c>
      <c r="D113" s="2">
        <v>0</v>
      </c>
      <c r="E113" s="154">
        <v>60</v>
      </c>
    </row>
    <row r="114" spans="2:9" x14ac:dyDescent="0.35">
      <c r="B114" s="13" t="s">
        <v>146</v>
      </c>
      <c r="C114" s="218" t="s">
        <v>149</v>
      </c>
      <c r="D114" s="2">
        <v>0</v>
      </c>
      <c r="E114" s="154">
        <v>40</v>
      </c>
    </row>
    <row r="115" spans="2:9" x14ac:dyDescent="0.35">
      <c r="B115" s="13" t="s">
        <v>150</v>
      </c>
      <c r="C115" s="218" t="s">
        <v>139</v>
      </c>
      <c r="D115" s="2">
        <v>100</v>
      </c>
      <c r="E115" s="154">
        <v>0</v>
      </c>
    </row>
    <row r="116" spans="2:9" x14ac:dyDescent="0.35">
      <c r="B116" s="13" t="s">
        <v>157</v>
      </c>
      <c r="C116" s="218" t="s">
        <v>139</v>
      </c>
      <c r="D116" s="2">
        <v>44.72</v>
      </c>
      <c r="E116" s="154">
        <v>0</v>
      </c>
    </row>
    <row r="117" spans="2:9" x14ac:dyDescent="0.35">
      <c r="B117" s="13" t="s">
        <v>157</v>
      </c>
      <c r="C117" s="218" t="s">
        <v>185</v>
      </c>
      <c r="D117" s="2">
        <v>55.28</v>
      </c>
      <c r="E117" s="154">
        <v>0</v>
      </c>
    </row>
    <row r="118" spans="2:9" ht="15" thickBot="1" x14ac:dyDescent="0.4">
      <c r="B118" s="14"/>
      <c r="C118" s="219"/>
      <c r="D118" s="6"/>
      <c r="E118" s="15"/>
    </row>
    <row r="119" spans="2:9" s="24" customFormat="1" ht="15" thickBot="1" x14ac:dyDescent="0.4">
      <c r="B119" s="68"/>
      <c r="C119" s="229" t="s">
        <v>186</v>
      </c>
      <c r="D119" s="74">
        <f>SUM(D109:D118)</f>
        <v>514.72</v>
      </c>
      <c r="E119" s="129">
        <f>SUM(E109:E118)</f>
        <v>200</v>
      </c>
      <c r="F119" s="11"/>
      <c r="G119" s="11"/>
      <c r="H119" s="11"/>
      <c r="I119" s="11"/>
    </row>
    <row r="120" spans="2:9" s="24" customFormat="1" ht="15" thickBot="1" x14ac:dyDescent="0.4">
      <c r="B120" s="230"/>
      <c r="C120" s="231" t="s">
        <v>187</v>
      </c>
      <c r="D120" s="232">
        <f>E119</f>
        <v>200</v>
      </c>
      <c r="E120" s="233"/>
      <c r="F120" s="11"/>
      <c r="G120" s="11"/>
      <c r="H120" s="11"/>
      <c r="I120" s="11"/>
    </row>
    <row r="121" spans="2:9" s="24" customFormat="1" ht="15" thickBot="1" x14ac:dyDescent="0.4">
      <c r="B121" s="68"/>
      <c r="C121" s="229" t="s">
        <v>188</v>
      </c>
      <c r="D121" s="194">
        <f>D119-D120</f>
        <v>314.72000000000003</v>
      </c>
      <c r="E121" s="129"/>
      <c r="F121" s="11"/>
      <c r="G121" s="11"/>
      <c r="H121" s="11"/>
      <c r="I121" s="11"/>
    </row>
    <row r="124" spans="2:9" ht="15" thickBot="1" x14ac:dyDescent="0.4"/>
    <row r="125" spans="2:9" ht="15" thickBot="1" x14ac:dyDescent="0.4">
      <c r="C125" s="173" t="s">
        <v>25</v>
      </c>
      <c r="D125" s="74" t="s">
        <v>68</v>
      </c>
      <c r="E125" s="129" t="s">
        <v>121</v>
      </c>
    </row>
    <row r="126" spans="2:9" x14ac:dyDescent="0.35">
      <c r="C126" s="12" t="s">
        <v>115</v>
      </c>
      <c r="D126" s="3">
        <v>110</v>
      </c>
      <c r="E126" s="155">
        <v>110</v>
      </c>
    </row>
    <row r="127" spans="2:9" x14ac:dyDescent="0.35">
      <c r="C127" s="13" t="s">
        <v>116</v>
      </c>
      <c r="D127" s="2">
        <v>15</v>
      </c>
      <c r="E127" s="154">
        <v>15</v>
      </c>
    </row>
    <row r="128" spans="2:9" x14ac:dyDescent="0.35">
      <c r="C128" s="13" t="s">
        <v>117</v>
      </c>
      <c r="D128" s="2">
        <v>185</v>
      </c>
      <c r="E128" s="154">
        <v>170</v>
      </c>
    </row>
    <row r="129" spans="3:5" x14ac:dyDescent="0.35">
      <c r="C129" s="13" t="s">
        <v>118</v>
      </c>
      <c r="D129" s="2">
        <v>59</v>
      </c>
      <c r="E129" s="154">
        <v>55</v>
      </c>
    </row>
    <row r="130" spans="3:5" x14ac:dyDescent="0.35">
      <c r="C130" s="13" t="s">
        <v>120</v>
      </c>
      <c r="D130" s="2">
        <v>250</v>
      </c>
      <c r="E130" s="154">
        <v>230</v>
      </c>
    </row>
    <row r="131" spans="3:5" ht="15" thickBot="1" x14ac:dyDescent="0.4">
      <c r="C131" s="14"/>
      <c r="D131" s="6"/>
      <c r="E131" s="15"/>
    </row>
    <row r="132" spans="3:5" ht="15" thickBot="1" x14ac:dyDescent="0.4">
      <c r="C132" s="173" t="s">
        <v>3</v>
      </c>
      <c r="D132" s="74">
        <f>SUM(D126:D131)</f>
        <v>619</v>
      </c>
      <c r="E132" s="129">
        <f>SUM(E126:E131)</f>
        <v>580</v>
      </c>
    </row>
    <row r="133" spans="3:5" ht="15" thickBot="1" x14ac:dyDescent="0.4"/>
    <row r="134" spans="3:5" ht="15" thickBot="1" x14ac:dyDescent="0.4">
      <c r="C134" s="199" t="s">
        <v>119</v>
      </c>
      <c r="D134" s="52">
        <v>100</v>
      </c>
      <c r="E134" s="200" t="s">
        <v>122</v>
      </c>
    </row>
  </sheetData>
  <mergeCells count="26">
    <mergeCell ref="C75:I75"/>
    <mergeCell ref="D53:F53"/>
    <mergeCell ref="G53:H53"/>
    <mergeCell ref="D54:F54"/>
    <mergeCell ref="G54:H54"/>
    <mergeCell ref="C57:I57"/>
    <mergeCell ref="C64:I64"/>
    <mergeCell ref="D50:F50"/>
    <mergeCell ref="G50:H50"/>
    <mergeCell ref="D51:F51"/>
    <mergeCell ref="G51:H51"/>
    <mergeCell ref="D52:F52"/>
    <mergeCell ref="G52:H52"/>
    <mergeCell ref="C14:I14"/>
    <mergeCell ref="C21:I21"/>
    <mergeCell ref="C32:I32"/>
    <mergeCell ref="G7:H7"/>
    <mergeCell ref="G8:H8"/>
    <mergeCell ref="G9:H9"/>
    <mergeCell ref="G10:H10"/>
    <mergeCell ref="G11:H11"/>
    <mergeCell ref="D7:F7"/>
    <mergeCell ref="D8:F8"/>
    <mergeCell ref="D9:F9"/>
    <mergeCell ref="D10:F10"/>
    <mergeCell ref="D11:F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5"/>
  <sheetViews>
    <sheetView topLeftCell="A37" zoomScaleNormal="100" workbookViewId="0">
      <selection activeCell="F24" sqref="F24"/>
    </sheetView>
  </sheetViews>
  <sheetFormatPr defaultRowHeight="14.5" x14ac:dyDescent="0.35"/>
  <cols>
    <col min="2" max="2" width="9.90625" bestFit="1" customWidth="1"/>
    <col min="3" max="3" width="21.54296875" bestFit="1" customWidth="1"/>
    <col min="4" max="4" width="13.08984375" style="1" bestFit="1" customWidth="1"/>
    <col min="5" max="6" width="8.7265625" style="1"/>
    <col min="7" max="7" width="36.453125" bestFit="1" customWidth="1"/>
  </cols>
  <sheetData>
    <row r="2" spans="2:7" ht="15" thickBot="1" x14ac:dyDescent="0.4"/>
    <row r="3" spans="2:7" ht="15" thickBot="1" x14ac:dyDescent="0.4">
      <c r="B3" s="68" t="s">
        <v>1</v>
      </c>
      <c r="C3" s="69" t="s">
        <v>25</v>
      </c>
      <c r="D3" s="74" t="s">
        <v>55</v>
      </c>
      <c r="E3" s="74" t="s">
        <v>26</v>
      </c>
      <c r="F3" s="74" t="s">
        <v>27</v>
      </c>
      <c r="G3" s="70" t="s">
        <v>7</v>
      </c>
    </row>
    <row r="4" spans="2:7" x14ac:dyDescent="0.35">
      <c r="B4" s="27" t="s">
        <v>28</v>
      </c>
      <c r="C4" s="26" t="s">
        <v>30</v>
      </c>
      <c r="D4" s="2" t="s">
        <v>267</v>
      </c>
      <c r="E4" s="2">
        <v>400000</v>
      </c>
      <c r="F4" s="2">
        <v>0</v>
      </c>
      <c r="G4" s="67" t="s">
        <v>32</v>
      </c>
    </row>
    <row r="5" spans="2:7" x14ac:dyDescent="0.35">
      <c r="B5" s="27" t="s">
        <v>264</v>
      </c>
      <c r="C5" s="26" t="s">
        <v>174</v>
      </c>
      <c r="D5" s="2" t="s">
        <v>266</v>
      </c>
      <c r="E5" s="2">
        <v>977400</v>
      </c>
      <c r="F5" s="2">
        <v>0</v>
      </c>
      <c r="G5" s="67" t="s">
        <v>268</v>
      </c>
    </row>
    <row r="6" spans="2:7" x14ac:dyDescent="0.35">
      <c r="B6" s="27" t="s">
        <v>72</v>
      </c>
      <c r="C6" s="26" t="s">
        <v>73</v>
      </c>
      <c r="D6" s="2" t="s">
        <v>267</v>
      </c>
      <c r="E6" s="2">
        <v>200000</v>
      </c>
      <c r="F6" s="2">
        <v>0</v>
      </c>
      <c r="G6" s="67" t="s">
        <v>74</v>
      </c>
    </row>
    <row r="7" spans="2:7" x14ac:dyDescent="0.35">
      <c r="B7" s="27"/>
      <c r="C7" s="26"/>
      <c r="D7" s="2"/>
      <c r="E7" s="2"/>
      <c r="F7" s="2"/>
      <c r="G7" s="67"/>
    </row>
    <row r="8" spans="2:7" x14ac:dyDescent="0.35">
      <c r="B8" s="27"/>
      <c r="C8" s="26"/>
      <c r="D8" s="2"/>
      <c r="E8" s="2"/>
      <c r="F8" s="2"/>
      <c r="G8" s="67"/>
    </row>
    <row r="9" spans="2:7" x14ac:dyDescent="0.35">
      <c r="B9" s="27"/>
      <c r="C9" s="26"/>
      <c r="D9" s="2"/>
      <c r="E9" s="2"/>
      <c r="F9" s="2"/>
      <c r="G9" s="67"/>
    </row>
    <row r="10" spans="2:7" x14ac:dyDescent="0.35">
      <c r="B10" s="27"/>
      <c r="C10" s="26"/>
      <c r="D10" s="2"/>
      <c r="E10" s="2"/>
      <c r="F10" s="2"/>
      <c r="G10" s="67"/>
    </row>
    <row r="11" spans="2:7" x14ac:dyDescent="0.35">
      <c r="B11" s="27"/>
      <c r="C11" s="26"/>
      <c r="D11" s="2"/>
      <c r="E11" s="2"/>
      <c r="F11" s="2"/>
      <c r="G11" s="67"/>
    </row>
    <row r="12" spans="2:7" x14ac:dyDescent="0.35">
      <c r="B12" s="27"/>
      <c r="C12" s="26"/>
      <c r="D12" s="2"/>
      <c r="E12" s="2"/>
      <c r="F12" s="2"/>
      <c r="G12" s="67"/>
    </row>
    <row r="13" spans="2:7" x14ac:dyDescent="0.35">
      <c r="B13" s="27"/>
      <c r="C13" s="26"/>
      <c r="D13" s="2"/>
      <c r="E13" s="2"/>
      <c r="F13" s="2"/>
      <c r="G13" s="67"/>
    </row>
    <row r="14" spans="2:7" x14ac:dyDescent="0.35">
      <c r="B14" s="27"/>
      <c r="C14" s="26"/>
      <c r="D14" s="2"/>
      <c r="E14" s="2"/>
      <c r="F14" s="2"/>
      <c r="G14" s="67"/>
    </row>
    <row r="15" spans="2:7" x14ac:dyDescent="0.35">
      <c r="B15" s="27"/>
      <c r="C15" s="26"/>
      <c r="D15" s="2"/>
      <c r="E15" s="2"/>
      <c r="F15" s="2"/>
      <c r="G15" s="67"/>
    </row>
    <row r="16" spans="2:7" x14ac:dyDescent="0.35">
      <c r="B16" s="27"/>
      <c r="C16" s="26"/>
      <c r="D16" s="2"/>
      <c r="E16" s="2"/>
      <c r="F16" s="2"/>
      <c r="G16" s="67"/>
    </row>
    <row r="17" spans="2:7" x14ac:dyDescent="0.35">
      <c r="B17" s="27"/>
      <c r="C17" s="26"/>
      <c r="D17" s="2"/>
      <c r="E17" s="2"/>
      <c r="F17" s="2"/>
      <c r="G17" s="67"/>
    </row>
    <row r="18" spans="2:7" ht="15" thickBot="1" x14ac:dyDescent="0.4">
      <c r="B18" s="71"/>
      <c r="C18" s="72"/>
      <c r="D18" s="6"/>
      <c r="E18" s="6"/>
      <c r="F18" s="6"/>
      <c r="G18" s="73"/>
    </row>
    <row r="19" spans="2:7" s="24" customFormat="1" ht="15" thickBot="1" x14ac:dyDescent="0.4">
      <c r="B19" s="43"/>
      <c r="C19" s="44" t="s">
        <v>3</v>
      </c>
      <c r="D19" s="45"/>
      <c r="E19" s="45">
        <f>SUM(E4:E18)</f>
        <v>1577400</v>
      </c>
      <c r="F19" s="45">
        <f>SUM(F4:F18)</f>
        <v>0</v>
      </c>
      <c r="G19" s="286"/>
    </row>
    <row r="20" spans="2:7" s="24" customFormat="1" ht="15" thickBot="1" x14ac:dyDescent="0.4">
      <c r="B20" s="68"/>
      <c r="C20" s="69" t="s">
        <v>265</v>
      </c>
      <c r="D20" s="74"/>
      <c r="E20" s="74">
        <f>E19-F19</f>
        <v>1577400</v>
      </c>
      <c r="F20" s="74"/>
      <c r="G20" s="70"/>
    </row>
    <row r="23" spans="2:7" ht="15" thickBot="1" x14ac:dyDescent="0.4"/>
    <row r="24" spans="2:7" x14ac:dyDescent="0.35">
      <c r="B24" s="58" t="s">
        <v>28</v>
      </c>
      <c r="C24" s="59" t="s">
        <v>29</v>
      </c>
      <c r="D24" s="60" t="s">
        <v>267</v>
      </c>
      <c r="E24" s="60">
        <v>0</v>
      </c>
      <c r="F24" s="60">
        <v>400000</v>
      </c>
      <c r="G24" s="284" t="s">
        <v>31</v>
      </c>
    </row>
    <row r="25" spans="2:7" ht="15" thickBot="1" x14ac:dyDescent="0.4">
      <c r="B25" s="29"/>
      <c r="C25" s="30" t="s">
        <v>29</v>
      </c>
      <c r="D25" s="31" t="s">
        <v>267</v>
      </c>
      <c r="E25" s="31">
        <v>400000</v>
      </c>
      <c r="F25" s="31">
        <v>0</v>
      </c>
      <c r="G25" s="285" t="s">
        <v>87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736B-CDB8-42AD-BA1B-1AF4B045531C}">
  <sheetPr>
    <pageSetUpPr fitToPage="1"/>
  </sheetPr>
  <dimension ref="B2:I113"/>
  <sheetViews>
    <sheetView zoomScale="115" zoomScaleNormal="115" workbookViewId="0">
      <selection activeCell="B12" sqref="B12:I12"/>
    </sheetView>
  </sheetViews>
  <sheetFormatPr defaultRowHeight="14.5" x14ac:dyDescent="0.35"/>
  <cols>
    <col min="2" max="2" width="9.90625" style="1" bestFit="1" customWidth="1"/>
    <col min="3" max="3" width="19.6328125" hidden="1" customWidth="1"/>
    <col min="4" max="4" width="20.6328125" style="288" customWidth="1"/>
    <col min="5" max="5" width="10.7265625" bestFit="1" customWidth="1"/>
    <col min="6" max="6" width="10.26953125" bestFit="1" customWidth="1"/>
    <col min="7" max="7" width="10.90625" hidden="1" customWidth="1"/>
    <col min="8" max="8" width="18.36328125" style="1" hidden="1" customWidth="1"/>
    <col min="9" max="9" width="27.6328125" style="299" customWidth="1"/>
  </cols>
  <sheetData>
    <row r="2" spans="2:9" ht="16" thickBot="1" x14ac:dyDescent="0.4">
      <c r="C2" s="397" t="s">
        <v>301</v>
      </c>
      <c r="D2" s="397"/>
    </row>
    <row r="3" spans="2:9" x14ac:dyDescent="0.35">
      <c r="C3" s="172" t="s">
        <v>174</v>
      </c>
      <c r="D3" s="98">
        <f>+G76+G80+G16+G17+G18+G19+G20+G21+G22+G23+G24+G25+G26+G27</f>
        <v>2574722</v>
      </c>
    </row>
    <row r="4" spans="2:9" x14ac:dyDescent="0.35">
      <c r="C4" s="13" t="s">
        <v>175</v>
      </c>
      <c r="D4" s="154">
        <f>G73+G79+G14</f>
        <v>1577940</v>
      </c>
    </row>
    <row r="5" spans="2:9" x14ac:dyDescent="0.35">
      <c r="C5" s="13" t="s">
        <v>143</v>
      </c>
      <c r="D5" s="154">
        <f>G74</f>
        <v>200000</v>
      </c>
    </row>
    <row r="6" spans="2:9" x14ac:dyDescent="0.35">
      <c r="C6" s="13" t="s">
        <v>273</v>
      </c>
      <c r="D6" s="154">
        <f>G75+G78</f>
        <v>688970</v>
      </c>
    </row>
    <row r="7" spans="2:9" x14ac:dyDescent="0.35">
      <c r="C7" s="13" t="s">
        <v>280</v>
      </c>
      <c r="D7" s="154">
        <f>+G81</f>
        <v>459000</v>
      </c>
    </row>
    <row r="8" spans="2:9" ht="15" thickBot="1" x14ac:dyDescent="0.4">
      <c r="C8" s="14"/>
      <c r="D8" s="15"/>
    </row>
    <row r="9" spans="2:9" ht="15" thickBot="1" x14ac:dyDescent="0.4">
      <c r="C9" s="173" t="s">
        <v>3</v>
      </c>
      <c r="D9" s="129">
        <f>SUM(D3:D8)</f>
        <v>5500632</v>
      </c>
    </row>
    <row r="12" spans="2:9" ht="19" thickBot="1" x14ac:dyDescent="0.5">
      <c r="B12" s="396" t="s">
        <v>269</v>
      </c>
      <c r="C12" s="396"/>
      <c r="D12" s="396"/>
      <c r="E12" s="396"/>
      <c r="F12" s="396"/>
      <c r="G12" s="396"/>
      <c r="H12" s="396"/>
      <c r="I12" s="396"/>
    </row>
    <row r="13" spans="2:9" s="84" customFormat="1" ht="19" customHeight="1" thickBot="1" x14ac:dyDescent="0.4">
      <c r="B13" s="295" t="s">
        <v>1</v>
      </c>
      <c r="C13" s="83" t="s">
        <v>25</v>
      </c>
      <c r="D13" s="83" t="s">
        <v>275</v>
      </c>
      <c r="E13" s="83" t="s">
        <v>55</v>
      </c>
      <c r="F13" s="83" t="s">
        <v>68</v>
      </c>
      <c r="G13" s="83" t="s">
        <v>27</v>
      </c>
      <c r="H13" s="87" t="s">
        <v>302</v>
      </c>
      <c r="I13" s="296" t="s">
        <v>7</v>
      </c>
    </row>
    <row r="14" spans="2:9" hidden="1" x14ac:dyDescent="0.35">
      <c r="B14" s="13" t="s">
        <v>72</v>
      </c>
      <c r="C14" s="26" t="s">
        <v>175</v>
      </c>
      <c r="D14" s="218" t="s">
        <v>175</v>
      </c>
      <c r="E14" s="2" t="s">
        <v>267</v>
      </c>
      <c r="F14" s="2">
        <v>0</v>
      </c>
      <c r="G14" s="2">
        <v>200000</v>
      </c>
      <c r="H14" s="5"/>
      <c r="I14" s="289"/>
    </row>
    <row r="15" spans="2:9" x14ac:dyDescent="0.35">
      <c r="B15" s="13" t="s">
        <v>72</v>
      </c>
      <c r="C15" s="26"/>
      <c r="D15" s="218" t="s">
        <v>175</v>
      </c>
      <c r="E15" s="2" t="s">
        <v>267</v>
      </c>
      <c r="F15" s="2">
        <v>200000</v>
      </c>
      <c r="G15" s="2">
        <v>0</v>
      </c>
      <c r="H15" s="5" t="s">
        <v>288</v>
      </c>
      <c r="I15" s="289" t="s">
        <v>289</v>
      </c>
    </row>
    <row r="16" spans="2:9" x14ac:dyDescent="0.35">
      <c r="B16" s="13" t="s">
        <v>285</v>
      </c>
      <c r="C16" s="26" t="s">
        <v>174</v>
      </c>
      <c r="D16" s="218" t="s">
        <v>283</v>
      </c>
      <c r="E16" s="2" t="s">
        <v>267</v>
      </c>
      <c r="F16" s="2">
        <v>5500</v>
      </c>
      <c r="G16" s="2">
        <v>5500</v>
      </c>
      <c r="H16" s="5"/>
      <c r="I16" s="289" t="s">
        <v>286</v>
      </c>
    </row>
    <row r="17" spans="2:9" ht="14" customHeight="1" x14ac:dyDescent="0.35">
      <c r="B17" s="13" t="s">
        <v>287</v>
      </c>
      <c r="C17" s="26" t="s">
        <v>174</v>
      </c>
      <c r="D17" s="218" t="s">
        <v>283</v>
      </c>
      <c r="E17" s="2" t="s">
        <v>267</v>
      </c>
      <c r="F17" s="2">
        <v>400000</v>
      </c>
      <c r="G17" s="2">
        <v>400000</v>
      </c>
      <c r="H17" s="5" t="s">
        <v>288</v>
      </c>
      <c r="I17" s="289" t="s">
        <v>289</v>
      </c>
    </row>
    <row r="18" spans="2:9" x14ac:dyDescent="0.35">
      <c r="B18" s="13" t="s">
        <v>290</v>
      </c>
      <c r="C18" s="26" t="s">
        <v>174</v>
      </c>
      <c r="D18" s="218" t="s">
        <v>283</v>
      </c>
      <c r="E18" s="2" t="s">
        <v>267</v>
      </c>
      <c r="F18" s="2">
        <v>100000</v>
      </c>
      <c r="G18" s="2">
        <v>100000</v>
      </c>
      <c r="H18" s="5"/>
      <c r="I18" s="289" t="s">
        <v>293</v>
      </c>
    </row>
    <row r="19" spans="2:9" x14ac:dyDescent="0.35">
      <c r="B19" s="13" t="s">
        <v>291</v>
      </c>
      <c r="C19" s="26" t="s">
        <v>174</v>
      </c>
      <c r="D19" s="218" t="s">
        <v>283</v>
      </c>
      <c r="E19" s="2" t="s">
        <v>267</v>
      </c>
      <c r="F19" s="2">
        <v>100000</v>
      </c>
      <c r="G19" s="2">
        <v>100000</v>
      </c>
      <c r="H19" s="5"/>
      <c r="I19" s="289" t="s">
        <v>293</v>
      </c>
    </row>
    <row r="20" spans="2:9" x14ac:dyDescent="0.35">
      <c r="B20" s="13" t="s">
        <v>291</v>
      </c>
      <c r="C20" s="26" t="s">
        <v>174</v>
      </c>
      <c r="D20" s="218" t="s">
        <v>283</v>
      </c>
      <c r="E20" s="2" t="s">
        <v>267</v>
      </c>
      <c r="F20" s="2">
        <v>3000</v>
      </c>
      <c r="G20" s="2">
        <v>3000</v>
      </c>
      <c r="H20" s="5"/>
      <c r="I20" s="289" t="s">
        <v>292</v>
      </c>
    </row>
    <row r="21" spans="2:9" x14ac:dyDescent="0.35">
      <c r="B21" s="13" t="s">
        <v>291</v>
      </c>
      <c r="C21" s="26" t="s">
        <v>174</v>
      </c>
      <c r="D21" s="218" t="s">
        <v>283</v>
      </c>
      <c r="E21" s="2" t="s">
        <v>267</v>
      </c>
      <c r="F21" s="2">
        <v>86828</v>
      </c>
      <c r="G21" s="2">
        <v>86828</v>
      </c>
      <c r="H21" s="5"/>
      <c r="I21" s="289" t="s">
        <v>294</v>
      </c>
    </row>
    <row r="22" spans="2:9" x14ac:dyDescent="0.35">
      <c r="B22" s="13" t="s">
        <v>291</v>
      </c>
      <c r="C22" s="26" t="s">
        <v>174</v>
      </c>
      <c r="D22" s="218" t="s">
        <v>283</v>
      </c>
      <c r="E22" s="2" t="s">
        <v>267</v>
      </c>
      <c r="F22" s="2">
        <v>86828</v>
      </c>
      <c r="G22" s="2">
        <v>86828</v>
      </c>
      <c r="H22" s="5"/>
      <c r="I22" s="289" t="s">
        <v>295</v>
      </c>
    </row>
    <row r="23" spans="2:9" x14ac:dyDescent="0.35">
      <c r="B23" s="13" t="s">
        <v>291</v>
      </c>
      <c r="C23" s="26" t="s">
        <v>174</v>
      </c>
      <c r="D23" s="218" t="s">
        <v>283</v>
      </c>
      <c r="E23" s="2" t="s">
        <v>267</v>
      </c>
      <c r="F23" s="2">
        <v>86828</v>
      </c>
      <c r="G23" s="2">
        <v>86828</v>
      </c>
      <c r="H23" s="5"/>
      <c r="I23" s="289" t="s">
        <v>296</v>
      </c>
    </row>
    <row r="24" spans="2:9" x14ac:dyDescent="0.35">
      <c r="B24" s="13" t="s">
        <v>297</v>
      </c>
      <c r="C24" s="26" t="s">
        <v>174</v>
      </c>
      <c r="D24" s="218" t="s">
        <v>283</v>
      </c>
      <c r="E24" s="2" t="s">
        <v>267</v>
      </c>
      <c r="F24" s="2">
        <v>86828</v>
      </c>
      <c r="G24" s="2">
        <v>86828</v>
      </c>
      <c r="H24" s="5"/>
      <c r="I24" s="289" t="s">
        <v>298</v>
      </c>
    </row>
    <row r="25" spans="2:9" s="78" customFormat="1" x14ac:dyDescent="0.35">
      <c r="B25" s="290" t="s">
        <v>297</v>
      </c>
      <c r="C25" s="291" t="s">
        <v>174</v>
      </c>
      <c r="D25" s="300" t="s">
        <v>283</v>
      </c>
      <c r="E25" s="293" t="s">
        <v>267</v>
      </c>
      <c r="F25" s="293">
        <v>92000</v>
      </c>
      <c r="G25" s="293">
        <v>92000</v>
      </c>
      <c r="H25" s="301"/>
      <c r="I25" s="294" t="s">
        <v>299</v>
      </c>
    </row>
    <row r="26" spans="2:9" x14ac:dyDescent="0.35">
      <c r="B26" s="13" t="s">
        <v>238</v>
      </c>
      <c r="C26" s="26" t="s">
        <v>174</v>
      </c>
      <c r="D26" s="218" t="s">
        <v>283</v>
      </c>
      <c r="E26" s="2" t="s">
        <v>267</v>
      </c>
      <c r="F26" s="2">
        <v>110000</v>
      </c>
      <c r="G26" s="2">
        <v>110000</v>
      </c>
      <c r="H26" s="5"/>
      <c r="I26" s="289" t="s">
        <v>300</v>
      </c>
    </row>
    <row r="27" spans="2:9" s="78" customFormat="1" x14ac:dyDescent="0.35">
      <c r="B27" s="290" t="s">
        <v>255</v>
      </c>
      <c r="C27" s="291" t="s">
        <v>174</v>
      </c>
      <c r="D27" s="300" t="s">
        <v>283</v>
      </c>
      <c r="E27" s="293" t="s">
        <v>267</v>
      </c>
      <c r="F27" s="293">
        <v>-450000</v>
      </c>
      <c r="G27" s="293">
        <v>-450000</v>
      </c>
      <c r="H27" s="301"/>
      <c r="I27" s="294" t="s">
        <v>304</v>
      </c>
    </row>
    <row r="28" spans="2:9" x14ac:dyDescent="0.35">
      <c r="B28" s="13" t="s">
        <v>316</v>
      </c>
      <c r="C28" s="26" t="s">
        <v>174</v>
      </c>
      <c r="D28" s="218" t="s">
        <v>283</v>
      </c>
      <c r="E28" s="2" t="s">
        <v>267</v>
      </c>
      <c r="F28" s="2">
        <v>86828</v>
      </c>
      <c r="G28" s="2">
        <v>86828</v>
      </c>
      <c r="H28" s="5"/>
      <c r="I28" s="289" t="s">
        <v>338</v>
      </c>
    </row>
    <row r="29" spans="2:9" x14ac:dyDescent="0.35">
      <c r="B29" s="13" t="s">
        <v>316</v>
      </c>
      <c r="C29" s="26" t="s">
        <v>174</v>
      </c>
      <c r="D29" s="218" t="s">
        <v>283</v>
      </c>
      <c r="E29" s="2" t="s">
        <v>267</v>
      </c>
      <c r="F29" s="2">
        <v>12000</v>
      </c>
      <c r="G29" s="2">
        <v>12000</v>
      </c>
      <c r="H29" s="5"/>
      <c r="I29" s="289" t="s">
        <v>339</v>
      </c>
    </row>
    <row r="30" spans="2:9" x14ac:dyDescent="0.35">
      <c r="B30" s="13" t="s">
        <v>340</v>
      </c>
      <c r="C30" s="26" t="s">
        <v>174</v>
      </c>
      <c r="D30" s="218" t="s">
        <v>283</v>
      </c>
      <c r="E30" s="2" t="s">
        <v>267</v>
      </c>
      <c r="F30" s="2">
        <v>86828</v>
      </c>
      <c r="G30" s="2">
        <v>86828</v>
      </c>
      <c r="H30" s="5"/>
      <c r="I30" s="289" t="s">
        <v>341</v>
      </c>
    </row>
    <row r="31" spans="2:9" s="78" customFormat="1" x14ac:dyDescent="0.35">
      <c r="B31" s="290" t="s">
        <v>340</v>
      </c>
      <c r="C31" s="291" t="s">
        <v>174</v>
      </c>
      <c r="D31" s="300" t="s">
        <v>283</v>
      </c>
      <c r="E31" s="293" t="s">
        <v>267</v>
      </c>
      <c r="F31" s="293">
        <v>5150</v>
      </c>
      <c r="G31" s="293">
        <v>5150</v>
      </c>
      <c r="H31" s="301"/>
      <c r="I31" s="294" t="s">
        <v>342</v>
      </c>
    </row>
    <row r="32" spans="2:9" x14ac:dyDescent="0.35">
      <c r="B32" s="13" t="s">
        <v>343</v>
      </c>
      <c r="C32" s="26" t="s">
        <v>174</v>
      </c>
      <c r="D32" s="218" t="s">
        <v>283</v>
      </c>
      <c r="E32" s="2" t="s">
        <v>267</v>
      </c>
      <c r="F32" s="2">
        <v>2500000</v>
      </c>
      <c r="G32" s="2">
        <v>2500000</v>
      </c>
      <c r="H32" s="5"/>
      <c r="I32" s="289" t="s">
        <v>289</v>
      </c>
    </row>
    <row r="33" spans="2:9" x14ac:dyDescent="0.35">
      <c r="B33" s="13" t="s">
        <v>343</v>
      </c>
      <c r="C33" s="26" t="s">
        <v>174</v>
      </c>
      <c r="D33" s="218" t="s">
        <v>283</v>
      </c>
      <c r="E33" s="2" t="s">
        <v>267</v>
      </c>
      <c r="F33" s="2">
        <v>7600</v>
      </c>
      <c r="G33" s="2">
        <v>7600</v>
      </c>
      <c r="H33" s="5"/>
      <c r="I33" s="289" t="s">
        <v>344</v>
      </c>
    </row>
    <row r="34" spans="2:9" x14ac:dyDescent="0.35">
      <c r="B34" s="13" t="s">
        <v>324</v>
      </c>
      <c r="C34" s="26" t="s">
        <v>174</v>
      </c>
      <c r="D34" s="218" t="s">
        <v>283</v>
      </c>
      <c r="E34" s="2" t="s">
        <v>267</v>
      </c>
      <c r="F34" s="2">
        <v>2500000</v>
      </c>
      <c r="G34" s="2">
        <v>2500000</v>
      </c>
      <c r="H34" s="5"/>
      <c r="I34" s="289" t="s">
        <v>345</v>
      </c>
    </row>
    <row r="35" spans="2:9" x14ac:dyDescent="0.35">
      <c r="B35" s="13"/>
      <c r="C35" s="26"/>
      <c r="D35" s="218"/>
      <c r="E35" s="2"/>
      <c r="F35" s="2"/>
      <c r="G35" s="2"/>
      <c r="H35" s="5"/>
      <c r="I35" s="289"/>
    </row>
    <row r="36" spans="2:9" x14ac:dyDescent="0.35">
      <c r="B36" s="13"/>
      <c r="C36" s="26"/>
      <c r="D36" s="218" t="s">
        <v>37</v>
      </c>
      <c r="E36" s="2" t="s">
        <v>267</v>
      </c>
      <c r="F36" s="2">
        <v>15000</v>
      </c>
      <c r="G36" s="2"/>
      <c r="H36" s="5"/>
      <c r="I36" s="289" t="s">
        <v>346</v>
      </c>
    </row>
    <row r="37" spans="2:9" x14ac:dyDescent="0.35">
      <c r="B37" s="13"/>
      <c r="C37" s="26"/>
      <c r="D37" s="218" t="s">
        <v>37</v>
      </c>
      <c r="E37" s="2" t="s">
        <v>267</v>
      </c>
      <c r="F37" s="2">
        <v>70000</v>
      </c>
      <c r="G37" s="2"/>
      <c r="H37" s="5"/>
      <c r="I37" s="289" t="s">
        <v>347</v>
      </c>
    </row>
    <row r="38" spans="2:9" x14ac:dyDescent="0.35">
      <c r="B38" s="13"/>
      <c r="C38" s="26"/>
      <c r="D38" s="218" t="s">
        <v>37</v>
      </c>
      <c r="E38" s="2" t="s">
        <v>267</v>
      </c>
      <c r="F38" s="2">
        <v>150</v>
      </c>
      <c r="G38" s="2"/>
      <c r="H38" s="5"/>
      <c r="I38" s="289" t="s">
        <v>348</v>
      </c>
    </row>
    <row r="39" spans="2:9" x14ac:dyDescent="0.35">
      <c r="B39" s="13"/>
      <c r="C39" s="26"/>
      <c r="D39" s="218" t="s">
        <v>37</v>
      </c>
      <c r="E39" s="2" t="s">
        <v>267</v>
      </c>
      <c r="F39" s="2">
        <v>10000</v>
      </c>
      <c r="G39" s="2"/>
      <c r="H39" s="5"/>
      <c r="I39" s="289" t="s">
        <v>349</v>
      </c>
    </row>
    <row r="40" spans="2:9" x14ac:dyDescent="0.35">
      <c r="B40" s="13"/>
      <c r="C40" s="26"/>
      <c r="D40" s="218" t="s">
        <v>37</v>
      </c>
      <c r="E40" s="2" t="s">
        <v>267</v>
      </c>
      <c r="F40" s="2">
        <v>10000</v>
      </c>
      <c r="G40" s="2"/>
      <c r="H40" s="5"/>
      <c r="I40" s="289" t="s">
        <v>350</v>
      </c>
    </row>
    <row r="41" spans="2:9" x14ac:dyDescent="0.35">
      <c r="B41" s="13"/>
      <c r="C41" s="26"/>
      <c r="D41" s="218" t="s">
        <v>37</v>
      </c>
      <c r="E41" s="2" t="s">
        <v>267</v>
      </c>
      <c r="F41" s="2">
        <v>40000</v>
      </c>
      <c r="G41" s="2"/>
      <c r="H41" s="5"/>
      <c r="I41" s="289" t="s">
        <v>351</v>
      </c>
    </row>
    <row r="42" spans="2:9" x14ac:dyDescent="0.35">
      <c r="B42" s="13"/>
      <c r="C42" s="26"/>
      <c r="D42" s="218" t="s">
        <v>37</v>
      </c>
      <c r="E42" s="2" t="s">
        <v>267</v>
      </c>
      <c r="F42" s="2">
        <v>30000</v>
      </c>
      <c r="G42" s="2"/>
      <c r="H42" s="5"/>
      <c r="I42" s="289" t="s">
        <v>352</v>
      </c>
    </row>
    <row r="43" spans="2:9" x14ac:dyDescent="0.35">
      <c r="B43" s="13"/>
      <c r="C43" s="26"/>
      <c r="D43" s="218" t="s">
        <v>37</v>
      </c>
      <c r="E43" s="2" t="s">
        <v>267</v>
      </c>
      <c r="F43" s="2">
        <v>30000</v>
      </c>
      <c r="G43" s="2"/>
      <c r="H43" s="5"/>
      <c r="I43" s="289" t="s">
        <v>353</v>
      </c>
    </row>
    <row r="44" spans="2:9" x14ac:dyDescent="0.35">
      <c r="B44" s="13"/>
      <c r="C44" s="26"/>
      <c r="D44" s="218" t="s">
        <v>37</v>
      </c>
      <c r="E44" s="2" t="s">
        <v>267</v>
      </c>
      <c r="F44" s="2">
        <v>25000</v>
      </c>
      <c r="G44" s="2"/>
      <c r="H44" s="5"/>
      <c r="I44" s="289" t="s">
        <v>354</v>
      </c>
    </row>
    <row r="45" spans="2:9" x14ac:dyDescent="0.35">
      <c r="B45" s="13"/>
      <c r="C45" s="26"/>
      <c r="D45" s="218" t="s">
        <v>37</v>
      </c>
      <c r="E45" s="2" t="s">
        <v>267</v>
      </c>
      <c r="F45" s="2">
        <v>5000</v>
      </c>
      <c r="G45" s="2"/>
      <c r="H45" s="5"/>
      <c r="I45" s="289" t="s">
        <v>355</v>
      </c>
    </row>
    <row r="46" spans="2:9" x14ac:dyDescent="0.35">
      <c r="B46" s="13"/>
      <c r="C46" s="26"/>
      <c r="D46" s="218" t="s">
        <v>37</v>
      </c>
      <c r="E46" s="2" t="s">
        <v>267</v>
      </c>
      <c r="F46" s="2">
        <v>750</v>
      </c>
      <c r="G46" s="2"/>
      <c r="H46" s="5"/>
      <c r="I46" s="289" t="s">
        <v>356</v>
      </c>
    </row>
    <row r="47" spans="2:9" x14ac:dyDescent="0.35">
      <c r="B47" s="13"/>
      <c r="C47" s="26"/>
      <c r="D47" s="218" t="s">
        <v>37</v>
      </c>
      <c r="E47" s="2" t="s">
        <v>267</v>
      </c>
      <c r="F47" s="2">
        <v>100000</v>
      </c>
      <c r="G47" s="2"/>
      <c r="H47" s="5"/>
      <c r="I47" s="289" t="s">
        <v>357</v>
      </c>
    </row>
    <row r="48" spans="2:9" x14ac:dyDescent="0.35">
      <c r="B48" s="13"/>
      <c r="C48" s="26"/>
      <c r="D48" s="218"/>
      <c r="E48" s="2"/>
      <c r="F48" s="2"/>
      <c r="G48" s="2"/>
      <c r="H48" s="5"/>
      <c r="I48" s="289"/>
    </row>
    <row r="49" spans="2:9" ht="15" thickBot="1" x14ac:dyDescent="0.4">
      <c r="B49" s="14"/>
      <c r="C49" s="72"/>
      <c r="D49" s="219"/>
      <c r="E49" s="6"/>
      <c r="F49" s="6"/>
      <c r="G49" s="6"/>
      <c r="H49" s="7"/>
      <c r="I49" s="297"/>
    </row>
    <row r="50" spans="2:9" ht="15" thickBot="1" x14ac:dyDescent="0.4">
      <c r="B50" s="173"/>
      <c r="C50" s="69" t="s">
        <v>3</v>
      </c>
      <c r="D50" s="287" t="s">
        <v>336</v>
      </c>
      <c r="E50" s="74"/>
      <c r="F50" s="74">
        <f>SUM(F14:F49)</f>
        <v>6442118</v>
      </c>
      <c r="G50" s="74">
        <f>SUM(G14:G49)</f>
        <v>6106218</v>
      </c>
      <c r="H50" s="88"/>
      <c r="I50" s="298"/>
    </row>
    <row r="57" spans="2:9" x14ac:dyDescent="0.35">
      <c r="D57" s="288" t="s">
        <v>37</v>
      </c>
      <c r="E57" s="2" t="s">
        <v>267</v>
      </c>
      <c r="F57">
        <v>15000</v>
      </c>
    </row>
    <row r="58" spans="2:9" x14ac:dyDescent="0.35">
      <c r="D58" s="288" t="s">
        <v>37</v>
      </c>
      <c r="E58" s="2" t="s">
        <v>267</v>
      </c>
      <c r="F58">
        <v>70000</v>
      </c>
    </row>
    <row r="59" spans="2:9" x14ac:dyDescent="0.35">
      <c r="D59" s="288" t="s">
        <v>37</v>
      </c>
      <c r="E59" s="2" t="s">
        <v>267</v>
      </c>
      <c r="F59">
        <v>150</v>
      </c>
    </row>
    <row r="60" spans="2:9" x14ac:dyDescent="0.35">
      <c r="D60" s="288" t="s">
        <v>37</v>
      </c>
      <c r="E60" s="2" t="s">
        <v>267</v>
      </c>
      <c r="F60">
        <v>10000</v>
      </c>
    </row>
    <row r="61" spans="2:9" x14ac:dyDescent="0.35">
      <c r="D61" s="288" t="s">
        <v>37</v>
      </c>
      <c r="E61" s="2" t="s">
        <v>267</v>
      </c>
      <c r="F61">
        <v>10000</v>
      </c>
    </row>
    <row r="62" spans="2:9" x14ac:dyDescent="0.35">
      <c r="D62" s="288" t="s">
        <v>37</v>
      </c>
      <c r="E62" s="2" t="s">
        <v>267</v>
      </c>
      <c r="F62">
        <v>40000</v>
      </c>
    </row>
    <row r="63" spans="2:9" x14ac:dyDescent="0.35">
      <c r="D63" s="288" t="s">
        <v>37</v>
      </c>
      <c r="E63" s="2" t="s">
        <v>267</v>
      </c>
      <c r="F63">
        <v>30000</v>
      </c>
    </row>
    <row r="64" spans="2:9" x14ac:dyDescent="0.35">
      <c r="D64" s="288" t="s">
        <v>37</v>
      </c>
      <c r="E64" s="2" t="s">
        <v>267</v>
      </c>
      <c r="F64">
        <v>30000</v>
      </c>
    </row>
    <row r="65" spans="2:9" x14ac:dyDescent="0.35">
      <c r="D65" s="288" t="s">
        <v>37</v>
      </c>
      <c r="E65" s="2" t="s">
        <v>267</v>
      </c>
      <c r="F65">
        <v>25000</v>
      </c>
    </row>
    <row r="66" spans="2:9" x14ac:dyDescent="0.35">
      <c r="D66" s="288" t="s">
        <v>37</v>
      </c>
      <c r="E66" s="2" t="s">
        <v>267</v>
      </c>
      <c r="F66">
        <v>5000</v>
      </c>
    </row>
    <row r="67" spans="2:9" x14ac:dyDescent="0.35">
      <c r="D67" s="288" t="s">
        <v>37</v>
      </c>
      <c r="E67" s="2" t="s">
        <v>267</v>
      </c>
      <c r="F67">
        <v>750</v>
      </c>
    </row>
    <row r="68" spans="2:9" x14ac:dyDescent="0.35">
      <c r="D68" s="288" t="s">
        <v>37</v>
      </c>
      <c r="E68" s="2" t="s">
        <v>267</v>
      </c>
      <c r="F68">
        <v>100000</v>
      </c>
    </row>
    <row r="70" spans="2:9" x14ac:dyDescent="0.35">
      <c r="D70" s="24" t="s">
        <v>3</v>
      </c>
      <c r="E70" s="24"/>
      <c r="F70" s="24">
        <f>SUM(F57:F69)</f>
        <v>335900</v>
      </c>
    </row>
    <row r="73" spans="2:9" x14ac:dyDescent="0.35">
      <c r="B73" s="13" t="s">
        <v>28</v>
      </c>
      <c r="C73" s="26" t="s">
        <v>175</v>
      </c>
      <c r="D73" s="218" t="s">
        <v>175</v>
      </c>
      <c r="E73" s="2" t="s">
        <v>267</v>
      </c>
      <c r="F73" s="2">
        <v>0</v>
      </c>
      <c r="G73" s="2">
        <v>400000</v>
      </c>
      <c r="H73" s="5" t="s">
        <v>303</v>
      </c>
      <c r="I73" s="289"/>
    </row>
    <row r="74" spans="2:9" x14ac:dyDescent="0.35">
      <c r="B74" s="13" t="s">
        <v>28</v>
      </c>
      <c r="C74" s="26" t="s">
        <v>143</v>
      </c>
      <c r="D74" s="218" t="s">
        <v>143</v>
      </c>
      <c r="E74" s="2" t="s">
        <v>267</v>
      </c>
      <c r="F74" s="2">
        <v>0</v>
      </c>
      <c r="G74" s="2">
        <v>200000</v>
      </c>
      <c r="H74" s="5" t="s">
        <v>303</v>
      </c>
      <c r="I74" s="289"/>
    </row>
    <row r="75" spans="2:9" x14ac:dyDescent="0.35">
      <c r="B75" s="13" t="s">
        <v>28</v>
      </c>
      <c r="C75" s="26" t="s">
        <v>273</v>
      </c>
      <c r="D75" s="218" t="s">
        <v>273</v>
      </c>
      <c r="E75" s="2" t="s">
        <v>267</v>
      </c>
      <c r="F75" s="2">
        <v>0</v>
      </c>
      <c r="G75" s="2">
        <v>200000</v>
      </c>
      <c r="H75" s="5" t="s">
        <v>303</v>
      </c>
      <c r="I75" s="289"/>
    </row>
    <row r="76" spans="2:9" x14ac:dyDescent="0.35">
      <c r="B76" s="13" t="s">
        <v>28</v>
      </c>
      <c r="C76" s="26" t="s">
        <v>174</v>
      </c>
      <c r="D76" s="218" t="s">
        <v>283</v>
      </c>
      <c r="E76" s="2" t="s">
        <v>267</v>
      </c>
      <c r="F76" s="2">
        <v>0</v>
      </c>
      <c r="G76" s="2">
        <v>400000</v>
      </c>
      <c r="H76" s="5" t="s">
        <v>303</v>
      </c>
      <c r="I76" s="289"/>
    </row>
    <row r="77" spans="2:9" s="78" customFormat="1" ht="29" x14ac:dyDescent="0.35">
      <c r="B77" s="290" t="s">
        <v>28</v>
      </c>
      <c r="C77" s="291"/>
      <c r="D77" s="292" t="s">
        <v>274</v>
      </c>
      <c r="E77" s="293" t="s">
        <v>270</v>
      </c>
      <c r="F77" s="293">
        <v>1200000</v>
      </c>
      <c r="G77" s="293">
        <v>0</v>
      </c>
      <c r="H77" s="293" t="s">
        <v>271</v>
      </c>
      <c r="I77" s="294" t="s">
        <v>272</v>
      </c>
    </row>
    <row r="78" spans="2:9" x14ac:dyDescent="0.35">
      <c r="B78" s="13" t="s">
        <v>264</v>
      </c>
      <c r="C78" s="26" t="s">
        <v>273</v>
      </c>
      <c r="D78" s="218" t="s">
        <v>276</v>
      </c>
      <c r="E78" s="2" t="s">
        <v>270</v>
      </c>
      <c r="F78" s="2">
        <v>0</v>
      </c>
      <c r="G78" s="2">
        <v>488970</v>
      </c>
      <c r="H78" s="5" t="s">
        <v>277</v>
      </c>
      <c r="I78" s="289"/>
    </row>
    <row r="79" spans="2:9" x14ac:dyDescent="0.35">
      <c r="B79" s="13" t="s">
        <v>264</v>
      </c>
      <c r="C79" s="26" t="s">
        <v>175</v>
      </c>
      <c r="D79" s="218" t="s">
        <v>278</v>
      </c>
      <c r="E79" s="2" t="s">
        <v>270</v>
      </c>
      <c r="F79" s="2">
        <v>0</v>
      </c>
      <c r="G79" s="2">
        <v>977940</v>
      </c>
      <c r="H79" s="5" t="s">
        <v>277</v>
      </c>
      <c r="I79" s="289"/>
    </row>
    <row r="80" spans="2:9" x14ac:dyDescent="0.35">
      <c r="B80" s="13" t="s">
        <v>264</v>
      </c>
      <c r="C80" s="26" t="s">
        <v>174</v>
      </c>
      <c r="D80" s="218" t="s">
        <v>279</v>
      </c>
      <c r="E80" s="2" t="s">
        <v>270</v>
      </c>
      <c r="F80" s="2">
        <v>0</v>
      </c>
      <c r="G80" s="2">
        <v>1466910</v>
      </c>
      <c r="H80" s="5" t="s">
        <v>277</v>
      </c>
      <c r="I80" s="289"/>
    </row>
    <row r="81" spans="2:9" x14ac:dyDescent="0.35">
      <c r="B81" s="13" t="s">
        <v>264</v>
      </c>
      <c r="C81" s="26" t="s">
        <v>280</v>
      </c>
      <c r="D81" s="218" t="s">
        <v>280</v>
      </c>
      <c r="E81" s="2" t="s">
        <v>270</v>
      </c>
      <c r="F81" s="2">
        <v>0</v>
      </c>
      <c r="G81" s="2">
        <v>459000</v>
      </c>
      <c r="H81" s="5" t="s">
        <v>281</v>
      </c>
      <c r="I81" s="289"/>
    </row>
    <row r="82" spans="2:9" x14ac:dyDescent="0.35">
      <c r="B82" s="13" t="s">
        <v>264</v>
      </c>
      <c r="C82" s="26"/>
      <c r="D82" s="218" t="s">
        <v>280</v>
      </c>
      <c r="E82" s="2" t="s">
        <v>270</v>
      </c>
      <c r="F82" s="2">
        <v>459000</v>
      </c>
      <c r="G82" s="2">
        <v>0</v>
      </c>
      <c r="H82" s="5" t="s">
        <v>281</v>
      </c>
      <c r="I82" s="289"/>
    </row>
    <row r="83" spans="2:9" x14ac:dyDescent="0.35">
      <c r="B83" s="13" t="s">
        <v>264</v>
      </c>
      <c r="C83" s="26"/>
      <c r="D83" s="218" t="s">
        <v>283</v>
      </c>
      <c r="E83" s="2" t="s">
        <v>270</v>
      </c>
      <c r="F83" s="2">
        <v>341820</v>
      </c>
      <c r="G83" s="2">
        <v>0</v>
      </c>
      <c r="H83" s="2" t="s">
        <v>282</v>
      </c>
      <c r="I83" s="289"/>
    </row>
    <row r="84" spans="2:9" x14ac:dyDescent="0.35">
      <c r="B84" s="13" t="s">
        <v>264</v>
      </c>
      <c r="C84" s="26"/>
      <c r="D84" s="218" t="s">
        <v>283</v>
      </c>
      <c r="E84" s="2" t="s">
        <v>270</v>
      </c>
      <c r="F84" s="2">
        <v>2592000</v>
      </c>
      <c r="G84" s="2">
        <v>0</v>
      </c>
      <c r="H84" s="5" t="s">
        <v>284</v>
      </c>
      <c r="I84" s="289"/>
    </row>
    <row r="95" spans="2:9" ht="15" thickBot="1" x14ac:dyDescent="0.4">
      <c r="G95" s="1"/>
      <c r="H95" s="299"/>
      <c r="I95"/>
    </row>
    <row r="96" spans="2:9" ht="16" thickBot="1" x14ac:dyDescent="0.4">
      <c r="C96" s="17" t="s">
        <v>1</v>
      </c>
      <c r="D96" s="18" t="s">
        <v>68</v>
      </c>
      <c r="G96" s="1"/>
      <c r="H96" s="299"/>
      <c r="I96"/>
    </row>
    <row r="97" spans="3:9" x14ac:dyDescent="0.35">
      <c r="C97" s="12" t="s">
        <v>6</v>
      </c>
      <c r="D97" s="3"/>
      <c r="G97" s="1"/>
      <c r="H97" s="299"/>
      <c r="I97"/>
    </row>
    <row r="98" spans="3:9" x14ac:dyDescent="0.35">
      <c r="C98" s="13" t="s">
        <v>2</v>
      </c>
      <c r="D98" s="2">
        <v>21</v>
      </c>
      <c r="G98" s="1"/>
      <c r="H98" s="299"/>
      <c r="I98"/>
    </row>
    <row r="99" spans="3:9" x14ac:dyDescent="0.35">
      <c r="C99" s="13" t="s">
        <v>4</v>
      </c>
      <c r="D99" s="2">
        <v>34</v>
      </c>
      <c r="G99" s="1"/>
      <c r="H99" s="299"/>
      <c r="I99"/>
    </row>
    <row r="100" spans="3:9" x14ac:dyDescent="0.35">
      <c r="C100" s="13" t="s">
        <v>10</v>
      </c>
      <c r="D100" s="2">
        <v>33</v>
      </c>
      <c r="G100" s="1"/>
      <c r="H100" s="299"/>
      <c r="I100"/>
    </row>
    <row r="101" spans="3:9" x14ac:dyDescent="0.35">
      <c r="C101" s="13" t="s">
        <v>11</v>
      </c>
      <c r="D101" s="23">
        <v>60</v>
      </c>
      <c r="G101" s="1"/>
      <c r="H101" s="299"/>
      <c r="I101"/>
    </row>
    <row r="102" spans="3:9" x14ac:dyDescent="0.35">
      <c r="C102" s="13" t="s">
        <v>12</v>
      </c>
      <c r="D102" s="2">
        <v>22.5</v>
      </c>
      <c r="G102" s="1"/>
      <c r="H102" s="299"/>
      <c r="I102"/>
    </row>
    <row r="103" spans="3:9" x14ac:dyDescent="0.35">
      <c r="C103" s="13" t="s">
        <v>34</v>
      </c>
      <c r="D103" s="2">
        <v>92.5</v>
      </c>
      <c r="G103" s="1"/>
      <c r="H103" s="299"/>
      <c r="I103"/>
    </row>
    <row r="104" spans="3:9" x14ac:dyDescent="0.35">
      <c r="C104" s="13" t="s">
        <v>59</v>
      </c>
      <c r="D104" s="2">
        <v>20</v>
      </c>
      <c r="G104" s="1"/>
      <c r="H104" s="299"/>
      <c r="I104"/>
    </row>
    <row r="105" spans="3:9" x14ac:dyDescent="0.35">
      <c r="C105" s="14" t="s">
        <v>71</v>
      </c>
      <c r="D105" s="6">
        <v>70</v>
      </c>
      <c r="G105" s="1"/>
      <c r="H105" s="299"/>
      <c r="I105"/>
    </row>
    <row r="106" spans="3:9" x14ac:dyDescent="0.35">
      <c r="C106" s="14" t="s">
        <v>79</v>
      </c>
      <c r="D106" s="6">
        <v>164</v>
      </c>
      <c r="G106" s="1"/>
      <c r="H106" s="299"/>
      <c r="I106"/>
    </row>
    <row r="107" spans="3:9" x14ac:dyDescent="0.35">
      <c r="C107" s="14" t="s">
        <v>124</v>
      </c>
      <c r="D107" s="6">
        <v>300</v>
      </c>
      <c r="G107" s="1"/>
      <c r="H107" s="299"/>
      <c r="I107"/>
    </row>
    <row r="108" spans="3:9" x14ac:dyDescent="0.35">
      <c r="C108" s="14" t="s">
        <v>238</v>
      </c>
      <c r="D108" s="6">
        <v>27.5</v>
      </c>
      <c r="G108" s="1"/>
      <c r="H108" s="299"/>
      <c r="I108"/>
    </row>
    <row r="109" spans="3:9" x14ac:dyDescent="0.35">
      <c r="C109" s="14"/>
      <c r="D109" s="6"/>
      <c r="G109" s="1"/>
      <c r="H109" s="299"/>
      <c r="I109"/>
    </row>
    <row r="110" spans="3:9" ht="15" thickBot="1" x14ac:dyDescent="0.4">
      <c r="C110" s="14"/>
      <c r="D110" s="6"/>
      <c r="G110" s="1"/>
      <c r="H110" s="299"/>
      <c r="I110"/>
    </row>
    <row r="111" spans="3:9" ht="16" thickBot="1" x14ac:dyDescent="0.4">
      <c r="C111" s="136" t="s">
        <v>3</v>
      </c>
      <c r="D111" s="138">
        <f>SUM(D98:D110)</f>
        <v>844.5</v>
      </c>
      <c r="G111" s="1"/>
      <c r="H111" s="299"/>
      <c r="I111"/>
    </row>
    <row r="112" spans="3:9" x14ac:dyDescent="0.35">
      <c r="G112" s="1"/>
      <c r="H112" s="299"/>
      <c r="I112"/>
    </row>
    <row r="113" spans="7:9" x14ac:dyDescent="0.35">
      <c r="G113" s="1"/>
      <c r="H113" s="299"/>
      <c r="I113"/>
    </row>
  </sheetData>
  <autoFilter ref="B13:I50" xr:uid="{D91C736B-CDB8-42AD-BA1B-1AF4B045531C}"/>
  <mergeCells count="2">
    <mergeCell ref="B12:I12"/>
    <mergeCell ref="C2:D2"/>
  </mergeCells>
  <printOptions horizontalCentered="1"/>
  <pageMargins left="0.25" right="0.25" top="0.5" bottom="0.5" header="0.3" footer="0.3"/>
  <pageSetup paperSize="9" scale="47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D233-D1F9-46CF-9040-0AD9DC735E2C}">
  <dimension ref="B1:H74"/>
  <sheetViews>
    <sheetView topLeftCell="A28" zoomScaleNormal="100" workbookViewId="0">
      <selection activeCell="I53" sqref="I53"/>
    </sheetView>
  </sheetViews>
  <sheetFormatPr defaultRowHeight="14" x14ac:dyDescent="0.3"/>
  <cols>
    <col min="1" max="2" width="8.7265625" style="222"/>
    <col min="3" max="3" width="12.26953125" style="222" customWidth="1"/>
    <col min="4" max="4" width="8.7265625" style="222"/>
    <col min="5" max="5" width="24.453125" style="222" customWidth="1"/>
    <col min="6" max="6" width="15" style="223" customWidth="1"/>
    <col min="7" max="7" width="12.90625" style="223" customWidth="1"/>
    <col min="8" max="8" width="12.54296875" style="223" customWidth="1"/>
    <col min="9" max="16384" width="8.7265625" style="222"/>
  </cols>
  <sheetData>
    <row r="1" spans="2:8" ht="14.5" thickBot="1" x14ac:dyDescent="0.35"/>
    <row r="2" spans="2:8" s="228" customFormat="1" ht="21.5" thickBot="1" x14ac:dyDescent="0.4">
      <c r="B2" s="224" t="s">
        <v>169</v>
      </c>
      <c r="C2" s="225" t="s">
        <v>170</v>
      </c>
      <c r="D2" s="225" t="s">
        <v>168</v>
      </c>
      <c r="E2" s="225" t="s">
        <v>158</v>
      </c>
      <c r="F2" s="226" t="s">
        <v>171</v>
      </c>
      <c r="G2" s="226" t="s">
        <v>172</v>
      </c>
      <c r="H2" s="227" t="s">
        <v>83</v>
      </c>
    </row>
    <row r="3" spans="2:8" s="239" customFormat="1" x14ac:dyDescent="0.35">
      <c r="B3" s="234">
        <v>1</v>
      </c>
      <c r="C3" s="235">
        <v>46023</v>
      </c>
      <c r="D3" s="252"/>
      <c r="E3" s="236" t="s">
        <v>159</v>
      </c>
      <c r="F3" s="237">
        <v>0</v>
      </c>
      <c r="G3" s="237">
        <v>10000000</v>
      </c>
      <c r="H3" s="238">
        <f>G3</f>
        <v>10000000</v>
      </c>
    </row>
    <row r="4" spans="2:8" s="239" customFormat="1" x14ac:dyDescent="0.35">
      <c r="B4" s="234">
        <f>B3+1</f>
        <v>2</v>
      </c>
      <c r="C4" s="235">
        <v>46031</v>
      </c>
      <c r="D4" s="252"/>
      <c r="E4" s="236" t="s">
        <v>160</v>
      </c>
      <c r="F4" s="237">
        <v>0</v>
      </c>
      <c r="G4" s="237">
        <v>280000</v>
      </c>
      <c r="H4" s="238">
        <f>+H3+G4-F4</f>
        <v>10280000</v>
      </c>
    </row>
    <row r="5" spans="2:8" s="239" customFormat="1" x14ac:dyDescent="0.35">
      <c r="B5" s="234">
        <f>B4+1</f>
        <v>3</v>
      </c>
      <c r="C5" s="235">
        <v>46031</v>
      </c>
      <c r="D5" s="252"/>
      <c r="E5" s="236" t="s">
        <v>160</v>
      </c>
      <c r="F5" s="237">
        <v>0</v>
      </c>
      <c r="G5" s="237">
        <v>5000000</v>
      </c>
      <c r="H5" s="238">
        <f t="shared" ref="H5:H50" si="0">+H4+G5-F5</f>
        <v>15280000</v>
      </c>
    </row>
    <row r="6" spans="2:8" s="239" customFormat="1" x14ac:dyDescent="0.35">
      <c r="B6" s="234">
        <f t="shared" ref="B6:B50" si="1">B5+1</f>
        <v>4</v>
      </c>
      <c r="C6" s="235">
        <v>46031</v>
      </c>
      <c r="D6" s="252"/>
      <c r="E6" s="236" t="s">
        <v>160</v>
      </c>
      <c r="F6" s="237">
        <v>0</v>
      </c>
      <c r="G6" s="237">
        <v>5000000</v>
      </c>
      <c r="H6" s="238">
        <f t="shared" si="0"/>
        <v>20280000</v>
      </c>
    </row>
    <row r="7" spans="2:8" s="239" customFormat="1" x14ac:dyDescent="0.35">
      <c r="B7" s="234">
        <f t="shared" si="1"/>
        <v>5</v>
      </c>
      <c r="C7" s="235">
        <v>46031</v>
      </c>
      <c r="D7" s="252"/>
      <c r="E7" s="236" t="s">
        <v>160</v>
      </c>
      <c r="F7" s="237">
        <v>0</v>
      </c>
      <c r="G7" s="237">
        <v>2220000</v>
      </c>
      <c r="H7" s="238">
        <f t="shared" si="0"/>
        <v>22500000</v>
      </c>
    </row>
    <row r="8" spans="2:8" s="239" customFormat="1" x14ac:dyDescent="0.35">
      <c r="B8" s="234">
        <f t="shared" si="1"/>
        <v>6</v>
      </c>
      <c r="C8" s="235">
        <v>46034</v>
      </c>
      <c r="D8" s="252">
        <v>145</v>
      </c>
      <c r="E8" s="236" t="s">
        <v>161</v>
      </c>
      <c r="F8" s="237">
        <v>11000</v>
      </c>
      <c r="G8" s="237">
        <v>0</v>
      </c>
      <c r="H8" s="238">
        <f t="shared" si="0"/>
        <v>22489000</v>
      </c>
    </row>
    <row r="9" spans="2:8" s="239" customFormat="1" x14ac:dyDescent="0.35">
      <c r="B9" s="234">
        <f t="shared" si="1"/>
        <v>7</v>
      </c>
      <c r="C9" s="235">
        <v>46034</v>
      </c>
      <c r="D9" s="252">
        <v>142</v>
      </c>
      <c r="E9" s="236" t="s">
        <v>162</v>
      </c>
      <c r="F9" s="237">
        <v>10000000</v>
      </c>
      <c r="G9" s="237">
        <v>0</v>
      </c>
      <c r="H9" s="238">
        <f t="shared" si="0"/>
        <v>12489000</v>
      </c>
    </row>
    <row r="10" spans="2:8" s="239" customFormat="1" x14ac:dyDescent="0.35">
      <c r="B10" s="234">
        <f t="shared" si="1"/>
        <v>8</v>
      </c>
      <c r="C10" s="235">
        <v>46034</v>
      </c>
      <c r="D10" s="252">
        <v>143</v>
      </c>
      <c r="E10" s="236" t="s">
        <v>163</v>
      </c>
      <c r="F10" s="237">
        <v>6000000</v>
      </c>
      <c r="G10" s="237">
        <v>0</v>
      </c>
      <c r="H10" s="238">
        <f t="shared" si="0"/>
        <v>6489000</v>
      </c>
    </row>
    <row r="11" spans="2:8" s="239" customFormat="1" x14ac:dyDescent="0.35">
      <c r="B11" s="234">
        <f t="shared" si="1"/>
        <v>9</v>
      </c>
      <c r="C11" s="235">
        <v>46034</v>
      </c>
      <c r="D11" s="252">
        <v>144</v>
      </c>
      <c r="E11" s="236" t="s">
        <v>164</v>
      </c>
      <c r="F11" s="237">
        <v>4000000</v>
      </c>
      <c r="G11" s="237">
        <v>0</v>
      </c>
      <c r="H11" s="238">
        <f t="shared" si="0"/>
        <v>2489000</v>
      </c>
    </row>
    <row r="12" spans="2:8" s="239" customFormat="1" x14ac:dyDescent="0.35">
      <c r="B12" s="234">
        <f t="shared" si="1"/>
        <v>10</v>
      </c>
      <c r="C12" s="235">
        <v>46035</v>
      </c>
      <c r="D12" s="252">
        <v>146</v>
      </c>
      <c r="E12" s="236" t="s">
        <v>165</v>
      </c>
      <c r="F12" s="237">
        <v>57780</v>
      </c>
      <c r="G12" s="237">
        <v>0</v>
      </c>
      <c r="H12" s="238">
        <f t="shared" si="0"/>
        <v>2431220</v>
      </c>
    </row>
    <row r="13" spans="2:8" s="239" customFormat="1" x14ac:dyDescent="0.35">
      <c r="B13" s="240">
        <f t="shared" si="1"/>
        <v>11</v>
      </c>
      <c r="C13" s="241">
        <v>46036</v>
      </c>
      <c r="D13" s="252"/>
      <c r="E13" s="242" t="s">
        <v>166</v>
      </c>
      <c r="F13" s="237">
        <v>0</v>
      </c>
      <c r="G13" s="243">
        <v>10000000</v>
      </c>
      <c r="H13" s="244">
        <f t="shared" si="0"/>
        <v>12431220</v>
      </c>
    </row>
    <row r="14" spans="2:8" s="239" customFormat="1" x14ac:dyDescent="0.35">
      <c r="B14" s="240">
        <f t="shared" si="1"/>
        <v>12</v>
      </c>
      <c r="C14" s="241">
        <v>46037</v>
      </c>
      <c r="D14" s="252"/>
      <c r="E14" s="242" t="s">
        <v>166</v>
      </c>
      <c r="F14" s="237">
        <v>0</v>
      </c>
      <c r="G14" s="243">
        <v>10000000</v>
      </c>
      <c r="H14" s="244">
        <f t="shared" si="0"/>
        <v>22431220</v>
      </c>
    </row>
    <row r="15" spans="2:8" s="239" customFormat="1" x14ac:dyDescent="0.35">
      <c r="B15" s="240">
        <f t="shared" si="1"/>
        <v>13</v>
      </c>
      <c r="C15" s="241">
        <v>46039</v>
      </c>
      <c r="D15" s="252"/>
      <c r="E15" s="242" t="s">
        <v>166</v>
      </c>
      <c r="F15" s="237">
        <v>0</v>
      </c>
      <c r="G15" s="243">
        <v>10000000</v>
      </c>
      <c r="H15" s="244">
        <f t="shared" si="0"/>
        <v>32431220</v>
      </c>
    </row>
    <row r="16" spans="2:8" s="239" customFormat="1" x14ac:dyDescent="0.35">
      <c r="B16" s="240">
        <f t="shared" si="1"/>
        <v>14</v>
      </c>
      <c r="C16" s="241">
        <v>46039</v>
      </c>
      <c r="D16" s="252"/>
      <c r="E16" s="242" t="s">
        <v>167</v>
      </c>
      <c r="F16" s="237">
        <v>0</v>
      </c>
      <c r="G16" s="243">
        <v>8000000</v>
      </c>
      <c r="H16" s="244">
        <f t="shared" si="0"/>
        <v>40431220</v>
      </c>
    </row>
    <row r="17" spans="2:8" s="239" customFormat="1" x14ac:dyDescent="0.35">
      <c r="B17" s="240">
        <f t="shared" si="1"/>
        <v>15</v>
      </c>
      <c r="C17" s="241">
        <v>46039</v>
      </c>
      <c r="D17" s="252"/>
      <c r="E17" s="242" t="s">
        <v>160</v>
      </c>
      <c r="F17" s="237">
        <v>0</v>
      </c>
      <c r="G17" s="243">
        <v>4930000</v>
      </c>
      <c r="H17" s="244">
        <f t="shared" si="0"/>
        <v>45361220</v>
      </c>
    </row>
    <row r="18" spans="2:8" s="239" customFormat="1" x14ac:dyDescent="0.35">
      <c r="B18" s="240">
        <f t="shared" si="1"/>
        <v>16</v>
      </c>
      <c r="C18" s="241">
        <v>46039</v>
      </c>
      <c r="D18" s="252"/>
      <c r="E18" s="242" t="s">
        <v>160</v>
      </c>
      <c r="F18" s="237">
        <v>0</v>
      </c>
      <c r="G18" s="243">
        <v>5000000</v>
      </c>
      <c r="H18" s="244">
        <f t="shared" si="0"/>
        <v>50361220</v>
      </c>
    </row>
    <row r="19" spans="2:8" s="239" customFormat="1" x14ac:dyDescent="0.35">
      <c r="B19" s="240">
        <f t="shared" si="1"/>
        <v>17</v>
      </c>
      <c r="C19" s="241">
        <v>46039</v>
      </c>
      <c r="D19" s="252"/>
      <c r="E19" s="242" t="s">
        <v>160</v>
      </c>
      <c r="F19" s="246">
        <v>0</v>
      </c>
      <c r="G19" s="243">
        <v>70000</v>
      </c>
      <c r="H19" s="244">
        <f t="shared" si="0"/>
        <v>50431220</v>
      </c>
    </row>
    <row r="20" spans="2:8" s="239" customFormat="1" x14ac:dyDescent="0.35">
      <c r="B20" s="240">
        <f t="shared" si="1"/>
        <v>18</v>
      </c>
      <c r="C20" s="241">
        <v>46041</v>
      </c>
      <c r="D20" s="252"/>
      <c r="E20" s="242" t="s">
        <v>167</v>
      </c>
      <c r="F20" s="246">
        <v>0</v>
      </c>
      <c r="G20" s="243">
        <v>12000000</v>
      </c>
      <c r="H20" s="244">
        <f t="shared" si="0"/>
        <v>62431220</v>
      </c>
    </row>
    <row r="21" spans="2:8" s="239" customFormat="1" x14ac:dyDescent="0.35">
      <c r="B21" s="240">
        <f t="shared" si="1"/>
        <v>19</v>
      </c>
      <c r="C21" s="241">
        <v>46041</v>
      </c>
      <c r="D21" s="245"/>
      <c r="E21" s="242" t="s">
        <v>160</v>
      </c>
      <c r="F21" s="246">
        <v>0</v>
      </c>
      <c r="G21" s="243">
        <v>5000000</v>
      </c>
      <c r="H21" s="244">
        <f t="shared" si="0"/>
        <v>67431220</v>
      </c>
    </row>
    <row r="22" spans="2:8" s="239" customFormat="1" x14ac:dyDescent="0.35">
      <c r="B22" s="240">
        <f t="shared" si="1"/>
        <v>20</v>
      </c>
      <c r="C22" s="241">
        <v>46041</v>
      </c>
      <c r="D22" s="245"/>
      <c r="E22" s="242" t="s">
        <v>160</v>
      </c>
      <c r="F22" s="246">
        <v>0</v>
      </c>
      <c r="G22" s="243">
        <v>5000000</v>
      </c>
      <c r="H22" s="244">
        <f t="shared" si="0"/>
        <v>72431220</v>
      </c>
    </row>
    <row r="23" spans="2:8" s="239" customFormat="1" x14ac:dyDescent="0.35">
      <c r="B23" s="240">
        <f t="shared" si="1"/>
        <v>21</v>
      </c>
      <c r="C23" s="241">
        <v>46041</v>
      </c>
      <c r="D23" s="245"/>
      <c r="E23" s="242" t="s">
        <v>160</v>
      </c>
      <c r="F23" s="246">
        <v>0</v>
      </c>
      <c r="G23" s="243">
        <v>5000000</v>
      </c>
      <c r="H23" s="244">
        <f t="shared" si="0"/>
        <v>77431220</v>
      </c>
    </row>
    <row r="24" spans="2:8" s="239" customFormat="1" x14ac:dyDescent="0.35">
      <c r="B24" s="240">
        <f t="shared" si="1"/>
        <v>22</v>
      </c>
      <c r="C24" s="241">
        <v>46041</v>
      </c>
      <c r="D24" s="245"/>
      <c r="E24" s="242" t="s">
        <v>179</v>
      </c>
      <c r="F24" s="246">
        <v>0</v>
      </c>
      <c r="G24" s="243">
        <v>5000000</v>
      </c>
      <c r="H24" s="244">
        <f t="shared" si="0"/>
        <v>82431220</v>
      </c>
    </row>
    <row r="25" spans="2:8" s="239" customFormat="1" x14ac:dyDescent="0.35">
      <c r="B25" s="240">
        <f t="shared" si="1"/>
        <v>23</v>
      </c>
      <c r="C25" s="241">
        <v>46041</v>
      </c>
      <c r="D25" s="245"/>
      <c r="E25" s="242" t="s">
        <v>179</v>
      </c>
      <c r="F25" s="246">
        <v>0</v>
      </c>
      <c r="G25" s="243">
        <v>5000000</v>
      </c>
      <c r="H25" s="244">
        <f t="shared" si="0"/>
        <v>87431220</v>
      </c>
    </row>
    <row r="26" spans="2:8" s="239" customFormat="1" x14ac:dyDescent="0.35">
      <c r="B26" s="240">
        <f t="shared" si="1"/>
        <v>24</v>
      </c>
      <c r="C26" s="241">
        <v>46041</v>
      </c>
      <c r="D26" s="245"/>
      <c r="E26" s="242" t="s">
        <v>179</v>
      </c>
      <c r="F26" s="246">
        <v>0</v>
      </c>
      <c r="G26" s="243">
        <v>5000000</v>
      </c>
      <c r="H26" s="244">
        <f t="shared" si="0"/>
        <v>92431220</v>
      </c>
    </row>
    <row r="27" spans="2:8" s="239" customFormat="1" x14ac:dyDescent="0.35">
      <c r="B27" s="240">
        <f t="shared" si="1"/>
        <v>25</v>
      </c>
      <c r="C27" s="241">
        <v>46041</v>
      </c>
      <c r="D27" s="245"/>
      <c r="E27" s="242" t="s">
        <v>160</v>
      </c>
      <c r="F27" s="246">
        <v>0</v>
      </c>
      <c r="G27" s="243">
        <v>3100000</v>
      </c>
      <c r="H27" s="244">
        <f t="shared" si="0"/>
        <v>95531220</v>
      </c>
    </row>
    <row r="28" spans="2:8" s="239" customFormat="1" x14ac:dyDescent="0.35">
      <c r="B28" s="240">
        <f t="shared" si="1"/>
        <v>26</v>
      </c>
      <c r="C28" s="241">
        <v>46042</v>
      </c>
      <c r="D28" s="245"/>
      <c r="E28" s="242" t="s">
        <v>179</v>
      </c>
      <c r="F28" s="246">
        <v>0</v>
      </c>
      <c r="G28" s="243">
        <v>2300000</v>
      </c>
      <c r="H28" s="244">
        <f t="shared" si="0"/>
        <v>97831220</v>
      </c>
    </row>
    <row r="29" spans="2:8" s="239" customFormat="1" x14ac:dyDescent="0.35">
      <c r="B29" s="240">
        <f t="shared" si="1"/>
        <v>27</v>
      </c>
      <c r="C29" s="241">
        <v>46042</v>
      </c>
      <c r="D29" s="245"/>
      <c r="E29" s="242" t="s">
        <v>167</v>
      </c>
      <c r="F29" s="246">
        <v>0</v>
      </c>
      <c r="G29" s="243">
        <v>300000</v>
      </c>
      <c r="H29" s="244">
        <f t="shared" si="0"/>
        <v>98131220</v>
      </c>
    </row>
    <row r="30" spans="2:8" s="239" customFormat="1" x14ac:dyDescent="0.35">
      <c r="B30" s="240">
        <f t="shared" si="1"/>
        <v>28</v>
      </c>
      <c r="C30" s="241">
        <v>46042</v>
      </c>
      <c r="D30" s="245"/>
      <c r="E30" s="242" t="s">
        <v>166</v>
      </c>
      <c r="F30" s="246">
        <v>0</v>
      </c>
      <c r="G30" s="243">
        <v>4472000</v>
      </c>
      <c r="H30" s="244">
        <f t="shared" si="0"/>
        <v>102603220</v>
      </c>
    </row>
    <row r="31" spans="2:8" s="239" customFormat="1" x14ac:dyDescent="0.35">
      <c r="B31" s="240">
        <f t="shared" si="1"/>
        <v>29</v>
      </c>
      <c r="C31" s="241">
        <v>46042</v>
      </c>
      <c r="D31" s="245"/>
      <c r="E31" s="242" t="s">
        <v>159</v>
      </c>
      <c r="F31" s="246">
        <v>0</v>
      </c>
      <c r="G31" s="243">
        <v>7800000</v>
      </c>
      <c r="H31" s="244">
        <f t="shared" si="0"/>
        <v>110403220</v>
      </c>
    </row>
    <row r="32" spans="2:8" s="239" customFormat="1" x14ac:dyDescent="0.35">
      <c r="B32" s="240">
        <f t="shared" si="1"/>
        <v>30</v>
      </c>
      <c r="C32" s="241">
        <v>46042</v>
      </c>
      <c r="D32" s="245"/>
      <c r="E32" s="242" t="s">
        <v>190</v>
      </c>
      <c r="F32" s="246">
        <v>40607860</v>
      </c>
      <c r="G32" s="243">
        <v>0</v>
      </c>
      <c r="H32" s="244">
        <f t="shared" si="0"/>
        <v>69795360</v>
      </c>
    </row>
    <row r="33" spans="2:8" s="239" customFormat="1" x14ac:dyDescent="0.35">
      <c r="B33" s="240">
        <f t="shared" si="1"/>
        <v>31</v>
      </c>
      <c r="C33" s="241">
        <v>46042</v>
      </c>
      <c r="D33" s="245"/>
      <c r="E33" s="242" t="s">
        <v>191</v>
      </c>
      <c r="F33" s="246">
        <v>40607860</v>
      </c>
      <c r="G33" s="243">
        <v>0</v>
      </c>
      <c r="H33" s="244">
        <f t="shared" si="0"/>
        <v>29187500</v>
      </c>
    </row>
    <row r="34" spans="2:8" s="239" customFormat="1" x14ac:dyDescent="0.35">
      <c r="B34" s="240">
        <f t="shared" si="1"/>
        <v>32</v>
      </c>
      <c r="C34" s="241">
        <v>46043</v>
      </c>
      <c r="D34" s="245"/>
      <c r="E34" s="242" t="s">
        <v>159</v>
      </c>
      <c r="F34" s="246">
        <v>0</v>
      </c>
      <c r="G34" s="243">
        <v>6000000</v>
      </c>
      <c r="H34" s="244">
        <f t="shared" si="0"/>
        <v>35187500</v>
      </c>
    </row>
    <row r="35" spans="2:8" s="239" customFormat="1" x14ac:dyDescent="0.35">
      <c r="B35" s="240">
        <f t="shared" si="1"/>
        <v>33</v>
      </c>
      <c r="C35" s="241">
        <v>46043</v>
      </c>
      <c r="D35" s="245"/>
      <c r="E35" s="242" t="s">
        <v>163</v>
      </c>
      <c r="F35" s="246">
        <v>34607454</v>
      </c>
      <c r="G35" s="243">
        <v>0</v>
      </c>
      <c r="H35" s="244">
        <f t="shared" si="0"/>
        <v>580046</v>
      </c>
    </row>
    <row r="36" spans="2:8" s="239" customFormat="1" x14ac:dyDescent="0.35">
      <c r="B36" s="240">
        <f t="shared" si="1"/>
        <v>34</v>
      </c>
      <c r="C36" s="241">
        <v>46044</v>
      </c>
      <c r="D36" s="245"/>
      <c r="E36" s="242" t="s">
        <v>166</v>
      </c>
      <c r="F36" s="246">
        <v>0</v>
      </c>
      <c r="G36" s="243">
        <v>9128000</v>
      </c>
      <c r="H36" s="244">
        <f t="shared" si="0"/>
        <v>9708046</v>
      </c>
    </row>
    <row r="37" spans="2:8" s="239" customFormat="1" x14ac:dyDescent="0.35">
      <c r="B37" s="240">
        <f t="shared" si="1"/>
        <v>35</v>
      </c>
      <c r="C37" s="241">
        <v>46049</v>
      </c>
      <c r="D37" s="245"/>
      <c r="E37" s="242" t="s">
        <v>159</v>
      </c>
      <c r="F37" s="246">
        <v>0</v>
      </c>
      <c r="G37" s="243">
        <v>5200000</v>
      </c>
      <c r="H37" s="244">
        <f t="shared" si="0"/>
        <v>14908046</v>
      </c>
    </row>
    <row r="38" spans="2:8" s="239" customFormat="1" x14ac:dyDescent="0.35">
      <c r="B38" s="240">
        <f t="shared" si="1"/>
        <v>36</v>
      </c>
      <c r="C38" s="241">
        <v>46049</v>
      </c>
      <c r="D38" s="245"/>
      <c r="E38" s="236" t="s">
        <v>162</v>
      </c>
      <c r="F38" s="246">
        <v>7946290</v>
      </c>
      <c r="G38" s="243">
        <v>0</v>
      </c>
      <c r="H38" s="244">
        <f t="shared" si="0"/>
        <v>6961756</v>
      </c>
    </row>
    <row r="39" spans="2:8" s="239" customFormat="1" x14ac:dyDescent="0.35">
      <c r="B39" s="240">
        <f t="shared" si="1"/>
        <v>37</v>
      </c>
      <c r="C39" s="241">
        <v>46050</v>
      </c>
      <c r="D39" s="245"/>
      <c r="E39" s="242" t="s">
        <v>160</v>
      </c>
      <c r="F39" s="246">
        <v>0</v>
      </c>
      <c r="G39" s="243">
        <v>15300000</v>
      </c>
      <c r="H39" s="244">
        <f t="shared" si="0"/>
        <v>22261756</v>
      </c>
    </row>
    <row r="40" spans="2:8" s="239" customFormat="1" x14ac:dyDescent="0.35">
      <c r="B40" s="240">
        <f t="shared" si="1"/>
        <v>38</v>
      </c>
      <c r="C40" s="241">
        <v>46050</v>
      </c>
      <c r="D40" s="245"/>
      <c r="E40" s="242" t="s">
        <v>160</v>
      </c>
      <c r="F40" s="246">
        <v>0</v>
      </c>
      <c r="G40" s="243">
        <v>1300000</v>
      </c>
      <c r="H40" s="244">
        <f t="shared" si="0"/>
        <v>23561756</v>
      </c>
    </row>
    <row r="41" spans="2:8" s="239" customFormat="1" x14ac:dyDescent="0.35">
      <c r="B41" s="240">
        <f t="shared" si="1"/>
        <v>39</v>
      </c>
      <c r="C41" s="241">
        <v>46050</v>
      </c>
      <c r="D41" s="245"/>
      <c r="E41" s="242" t="s">
        <v>160</v>
      </c>
      <c r="F41" s="246">
        <v>0</v>
      </c>
      <c r="G41" s="243">
        <v>17500000</v>
      </c>
      <c r="H41" s="244">
        <f t="shared" si="0"/>
        <v>41061756</v>
      </c>
    </row>
    <row r="42" spans="2:8" s="239" customFormat="1" x14ac:dyDescent="0.35">
      <c r="B42" s="240">
        <f t="shared" si="1"/>
        <v>40</v>
      </c>
      <c r="C42" s="241">
        <v>46050</v>
      </c>
      <c r="D42" s="245"/>
      <c r="E42" s="242" t="s">
        <v>166</v>
      </c>
      <c r="F42" s="246">
        <v>0</v>
      </c>
      <c r="G42" s="243">
        <v>13200000</v>
      </c>
      <c r="H42" s="244">
        <f t="shared" si="0"/>
        <v>54261756</v>
      </c>
    </row>
    <row r="43" spans="2:8" s="239" customFormat="1" ht="18" x14ac:dyDescent="0.35">
      <c r="B43" s="240">
        <f t="shared" si="1"/>
        <v>41</v>
      </c>
      <c r="C43" s="241">
        <v>46050</v>
      </c>
      <c r="D43" s="245"/>
      <c r="E43" s="242" t="s">
        <v>248</v>
      </c>
      <c r="F43" s="246">
        <v>36088000</v>
      </c>
      <c r="G43" s="243">
        <v>0</v>
      </c>
      <c r="H43" s="244">
        <f t="shared" si="0"/>
        <v>18173756</v>
      </c>
    </row>
    <row r="44" spans="2:8" s="239" customFormat="1" x14ac:dyDescent="0.35">
      <c r="B44" s="240">
        <f t="shared" si="1"/>
        <v>42</v>
      </c>
      <c r="C44" s="241">
        <v>46050</v>
      </c>
      <c r="D44" s="245"/>
      <c r="E44" s="242" t="s">
        <v>166</v>
      </c>
      <c r="F44" s="246">
        <v>0</v>
      </c>
      <c r="G44" s="243">
        <v>5000000</v>
      </c>
      <c r="H44" s="244">
        <f t="shared" si="0"/>
        <v>23173756</v>
      </c>
    </row>
    <row r="45" spans="2:8" s="239" customFormat="1" x14ac:dyDescent="0.35">
      <c r="B45" s="240">
        <f t="shared" si="1"/>
        <v>43</v>
      </c>
      <c r="C45" s="241">
        <v>46050</v>
      </c>
      <c r="D45" s="245"/>
      <c r="E45" s="242" t="s">
        <v>166</v>
      </c>
      <c r="F45" s="246">
        <v>0</v>
      </c>
      <c r="G45" s="243">
        <v>1100000</v>
      </c>
      <c r="H45" s="244">
        <f t="shared" si="0"/>
        <v>24273756</v>
      </c>
    </row>
    <row r="46" spans="2:8" s="239" customFormat="1" x14ac:dyDescent="0.35">
      <c r="B46" s="240">
        <f t="shared" si="1"/>
        <v>44</v>
      </c>
      <c r="C46" s="241">
        <v>46051</v>
      </c>
      <c r="D46" s="255"/>
      <c r="E46" s="256" t="s">
        <v>160</v>
      </c>
      <c r="F46" s="257">
        <v>14000000</v>
      </c>
      <c r="G46" s="278">
        <v>0</v>
      </c>
      <c r="H46" s="244">
        <f t="shared" si="0"/>
        <v>10273756</v>
      </c>
    </row>
    <row r="47" spans="2:8" s="239" customFormat="1" ht="18" x14ac:dyDescent="0.35">
      <c r="B47" s="240">
        <f t="shared" si="1"/>
        <v>45</v>
      </c>
      <c r="C47" s="241">
        <v>46052</v>
      </c>
      <c r="D47" s="255"/>
      <c r="E47" s="256" t="s">
        <v>251</v>
      </c>
      <c r="F47" s="257">
        <v>820356</v>
      </c>
      <c r="G47" s="278">
        <v>0</v>
      </c>
      <c r="H47" s="244">
        <f t="shared" si="0"/>
        <v>9453400</v>
      </c>
    </row>
    <row r="48" spans="2:8" s="239" customFormat="1" x14ac:dyDescent="0.35">
      <c r="B48" s="240">
        <f t="shared" si="1"/>
        <v>46</v>
      </c>
      <c r="C48" s="241">
        <v>46052</v>
      </c>
      <c r="D48" s="255"/>
      <c r="E48" s="256" t="s">
        <v>252</v>
      </c>
      <c r="F48" s="257">
        <v>410180</v>
      </c>
      <c r="G48" s="278">
        <v>0</v>
      </c>
      <c r="H48" s="244">
        <f t="shared" si="0"/>
        <v>9043220</v>
      </c>
    </row>
    <row r="49" spans="2:8" s="239" customFormat="1" x14ac:dyDescent="0.35">
      <c r="B49" s="240">
        <f t="shared" si="1"/>
        <v>47</v>
      </c>
      <c r="C49" s="241">
        <v>46052</v>
      </c>
      <c r="D49" s="255"/>
      <c r="E49" s="256" t="s">
        <v>250</v>
      </c>
      <c r="F49" s="257">
        <v>853559</v>
      </c>
      <c r="G49" s="278">
        <v>0</v>
      </c>
      <c r="H49" s="244">
        <f t="shared" si="0"/>
        <v>8189661</v>
      </c>
    </row>
    <row r="50" spans="2:8" s="239" customFormat="1" x14ac:dyDescent="0.35">
      <c r="B50" s="240">
        <f t="shared" si="1"/>
        <v>48</v>
      </c>
      <c r="C50" s="241">
        <v>46052</v>
      </c>
      <c r="D50" s="255"/>
      <c r="E50" s="256" t="s">
        <v>249</v>
      </c>
      <c r="F50" s="257">
        <v>2015905</v>
      </c>
      <c r="G50" s="278">
        <v>0</v>
      </c>
      <c r="H50" s="244">
        <f t="shared" si="0"/>
        <v>6173756</v>
      </c>
    </row>
    <row r="51" spans="2:8" s="239" customFormat="1" x14ac:dyDescent="0.35">
      <c r="B51" s="253"/>
      <c r="C51" s="254"/>
      <c r="D51" s="255"/>
      <c r="E51" s="256"/>
      <c r="F51" s="257"/>
      <c r="G51" s="278"/>
      <c r="H51" s="259"/>
    </row>
    <row r="52" spans="2:8" s="239" customFormat="1" x14ac:dyDescent="0.35">
      <c r="B52" s="253"/>
      <c r="C52" s="254"/>
      <c r="D52" s="255"/>
      <c r="E52" s="256"/>
      <c r="F52" s="257"/>
      <c r="G52" s="278"/>
      <c r="H52" s="259"/>
    </row>
    <row r="53" spans="2:8" s="239" customFormat="1" x14ac:dyDescent="0.35">
      <c r="B53" s="253"/>
      <c r="C53" s="254"/>
      <c r="D53" s="255"/>
      <c r="E53" s="256"/>
      <c r="F53" s="257"/>
      <c r="G53" s="278"/>
      <c r="H53" s="259"/>
    </row>
    <row r="54" spans="2:8" s="239" customFormat="1" x14ac:dyDescent="0.35">
      <c r="B54" s="253"/>
      <c r="C54" s="254"/>
      <c r="D54" s="255"/>
      <c r="E54" s="256"/>
      <c r="F54" s="257"/>
      <c r="G54" s="278"/>
      <c r="H54" s="259"/>
    </row>
    <row r="55" spans="2:8" s="239" customFormat="1" x14ac:dyDescent="0.35">
      <c r="B55" s="253"/>
      <c r="C55" s="254"/>
      <c r="D55" s="255"/>
      <c r="E55" s="256"/>
      <c r="F55" s="257"/>
      <c r="G55" s="278"/>
      <c r="H55" s="259"/>
    </row>
    <row r="56" spans="2:8" s="239" customFormat="1" x14ac:dyDescent="0.35">
      <c r="B56" s="253"/>
      <c r="C56" s="254"/>
      <c r="D56" s="255"/>
      <c r="E56" s="256"/>
      <c r="F56" s="257"/>
      <c r="G56" s="278"/>
      <c r="H56" s="259"/>
    </row>
    <row r="57" spans="2:8" s="239" customFormat="1" x14ac:dyDescent="0.35">
      <c r="B57" s="253"/>
      <c r="C57" s="254"/>
      <c r="D57" s="255"/>
      <c r="E57" s="256"/>
      <c r="F57" s="257"/>
      <c r="G57" s="278"/>
      <c r="H57" s="259"/>
    </row>
    <row r="58" spans="2:8" s="239" customFormat="1" x14ac:dyDescent="0.35">
      <c r="B58" s="253"/>
      <c r="C58" s="254"/>
      <c r="D58" s="255"/>
      <c r="E58" s="256"/>
      <c r="F58" s="257"/>
      <c r="G58" s="278"/>
      <c r="H58" s="259"/>
    </row>
    <row r="59" spans="2:8" s="239" customFormat="1" x14ac:dyDescent="0.35">
      <c r="B59" s="253"/>
      <c r="C59" s="254"/>
      <c r="D59" s="255"/>
      <c r="E59" s="256"/>
      <c r="F59" s="257"/>
      <c r="G59" s="278"/>
      <c r="H59" s="259"/>
    </row>
    <row r="60" spans="2:8" s="239" customFormat="1" x14ac:dyDescent="0.35">
      <c r="B60" s="253"/>
      <c r="C60" s="254"/>
      <c r="D60" s="255"/>
      <c r="E60" s="256"/>
      <c r="F60" s="257"/>
      <c r="G60" s="278"/>
      <c r="H60" s="259"/>
    </row>
    <row r="61" spans="2:8" s="239" customFormat="1" x14ac:dyDescent="0.35">
      <c r="B61" s="253"/>
      <c r="C61" s="254"/>
      <c r="D61" s="255"/>
      <c r="E61" s="256"/>
      <c r="F61" s="257"/>
      <c r="G61" s="278"/>
      <c r="H61" s="259"/>
    </row>
    <row r="62" spans="2:8" s="239" customFormat="1" x14ac:dyDescent="0.35">
      <c r="B62" s="253"/>
      <c r="C62" s="254"/>
      <c r="D62" s="255"/>
      <c r="E62" s="256"/>
      <c r="F62" s="257"/>
      <c r="G62" s="278"/>
      <c r="H62" s="259"/>
    </row>
    <row r="63" spans="2:8" s="239" customFormat="1" ht="14.5" thickBot="1" x14ac:dyDescent="0.4">
      <c r="B63" s="253"/>
      <c r="C63" s="254"/>
      <c r="D63" s="255"/>
      <c r="E63" s="256"/>
      <c r="F63" s="257"/>
      <c r="G63" s="258"/>
      <c r="H63" s="259"/>
    </row>
    <row r="64" spans="2:8" ht="14.5" thickBot="1" x14ac:dyDescent="0.35">
      <c r="B64" s="260"/>
      <c r="C64" s="261"/>
      <c r="D64" s="262"/>
      <c r="E64" s="261"/>
      <c r="F64" s="264">
        <f>SUM(F3:F63)</f>
        <v>198026244</v>
      </c>
      <c r="G64" s="264">
        <f>SUM(G3:G63)</f>
        <v>204200000</v>
      </c>
      <c r="H64" s="263"/>
    </row>
    <row r="65" spans="2:8" ht="14.5" thickBot="1" x14ac:dyDescent="0.35">
      <c r="B65" s="260"/>
      <c r="C65" s="261"/>
      <c r="D65" s="262"/>
      <c r="E65" s="261" t="s">
        <v>86</v>
      </c>
      <c r="F65" s="264">
        <f>G64-F64</f>
        <v>6173756</v>
      </c>
      <c r="G65" s="265"/>
      <c r="H65" s="263"/>
    </row>
    <row r="68" spans="2:8" x14ac:dyDescent="0.3">
      <c r="E68" s="222" t="s">
        <v>173</v>
      </c>
      <c r="F68" s="306">
        <f>+G3</f>
        <v>10000000</v>
      </c>
    </row>
    <row r="69" spans="2:8" x14ac:dyDescent="0.3">
      <c r="E69" s="222" t="s">
        <v>174</v>
      </c>
      <c r="F69" s="306">
        <f>+G4+G5+G6+G7+G17+G18+G19+G21+G22+G23+G27</f>
        <v>40600000</v>
      </c>
    </row>
    <row r="70" spans="2:8" x14ac:dyDescent="0.3">
      <c r="E70" s="222" t="s">
        <v>175</v>
      </c>
      <c r="F70" s="306">
        <f>+G14</f>
        <v>10000000</v>
      </c>
    </row>
    <row r="71" spans="2:8" x14ac:dyDescent="0.3">
      <c r="E71" s="222" t="s">
        <v>176</v>
      </c>
      <c r="F71" s="306">
        <f>+G16+G20+G29</f>
        <v>20300000</v>
      </c>
    </row>
    <row r="72" spans="2:8" x14ac:dyDescent="0.3">
      <c r="E72" s="222" t="s">
        <v>0</v>
      </c>
      <c r="F72" s="306">
        <f>+G24+G25+G26+G28</f>
        <v>17300000</v>
      </c>
    </row>
    <row r="73" spans="2:8" x14ac:dyDescent="0.3">
      <c r="F73" s="306"/>
    </row>
    <row r="74" spans="2:8" x14ac:dyDescent="0.3">
      <c r="F74" s="306">
        <f>SUM(F68:F73)</f>
        <v>98200000</v>
      </c>
    </row>
  </sheetData>
  <autoFilter ref="B2:H64" xr:uid="{40BCD233-D1F9-46CF-9040-0AD9DC735E2C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12"/>
  <sheetViews>
    <sheetView topLeftCell="A61" workbookViewId="0">
      <selection activeCell="J70" sqref="J70:J71"/>
    </sheetView>
  </sheetViews>
  <sheetFormatPr defaultRowHeight="14.5" x14ac:dyDescent="0.35"/>
  <cols>
    <col min="1" max="1" width="4.6328125" customWidth="1"/>
    <col min="2" max="2" width="9.90625" bestFit="1" customWidth="1"/>
    <col min="3" max="3" width="27.1796875" customWidth="1"/>
    <col min="4" max="4" width="14.1796875" style="1" bestFit="1" customWidth="1"/>
    <col min="5" max="5" width="11.54296875" style="25" bestFit="1" customWidth="1"/>
    <col min="6" max="6" width="8.7265625" style="1"/>
    <col min="7" max="7" width="6.08984375" customWidth="1"/>
    <col min="8" max="8" width="9.90625" bestFit="1" customWidth="1"/>
    <col min="9" max="9" width="34.26953125" bestFit="1" customWidth="1"/>
    <col min="10" max="11" width="9.81640625" bestFit="1" customWidth="1"/>
  </cols>
  <sheetData>
    <row r="2" spans="2:6" ht="15" thickBot="1" x14ac:dyDescent="0.4"/>
    <row r="3" spans="2:6" s="42" customFormat="1" ht="31.5" thickBot="1" x14ac:dyDescent="0.4">
      <c r="B3" s="41" t="s">
        <v>1</v>
      </c>
      <c r="C3" s="40" t="s">
        <v>15</v>
      </c>
      <c r="D3" s="40" t="s">
        <v>16</v>
      </c>
      <c r="E3" s="39" t="s">
        <v>5</v>
      </c>
    </row>
    <row r="4" spans="2:6" ht="15" thickBot="1" x14ac:dyDescent="0.4">
      <c r="B4" s="43"/>
      <c r="C4" s="44"/>
      <c r="D4" s="45"/>
      <c r="E4" s="46"/>
    </row>
    <row r="5" spans="2:6" ht="15" thickBot="1" x14ac:dyDescent="0.4">
      <c r="B5" s="50" t="s">
        <v>2</v>
      </c>
      <c r="C5" s="51" t="s">
        <v>14</v>
      </c>
      <c r="D5" s="52">
        <v>4500000</v>
      </c>
      <c r="E5" s="53">
        <v>3900000</v>
      </c>
    </row>
    <row r="6" spans="2:6" ht="15" thickBot="1" x14ac:dyDescent="0.4">
      <c r="B6" s="54"/>
      <c r="C6" s="55"/>
      <c r="D6" s="56"/>
      <c r="E6" s="57"/>
    </row>
    <row r="7" spans="2:6" x14ac:dyDescent="0.35">
      <c r="B7" s="58" t="s">
        <v>4</v>
      </c>
      <c r="C7" s="59" t="s">
        <v>13</v>
      </c>
      <c r="D7" s="60">
        <v>2050000</v>
      </c>
      <c r="E7" s="398">
        <v>6600000</v>
      </c>
    </row>
    <row r="8" spans="2:6" x14ac:dyDescent="0.35">
      <c r="B8" s="33" t="s">
        <v>4</v>
      </c>
      <c r="C8" s="34" t="s">
        <v>18</v>
      </c>
      <c r="D8" s="22">
        <v>4000000</v>
      </c>
      <c r="E8" s="399"/>
    </row>
    <row r="9" spans="2:6" ht="15" thickBot="1" x14ac:dyDescent="0.4">
      <c r="B9" s="61" t="s">
        <v>9</v>
      </c>
      <c r="C9" s="62" t="s">
        <v>19</v>
      </c>
      <c r="D9" s="63">
        <v>1000000</v>
      </c>
      <c r="E9" s="400"/>
    </row>
    <row r="10" spans="2:6" ht="15" thickBot="1" x14ac:dyDescent="0.4">
      <c r="B10" s="54"/>
      <c r="C10" s="55"/>
      <c r="D10" s="56"/>
      <c r="E10" s="57"/>
    </row>
    <row r="11" spans="2:6" x14ac:dyDescent="0.35">
      <c r="B11" s="64" t="s">
        <v>10</v>
      </c>
      <c r="C11" s="65" t="s">
        <v>20</v>
      </c>
      <c r="D11" s="66">
        <v>1000000</v>
      </c>
      <c r="E11" s="398">
        <v>6600000</v>
      </c>
    </row>
    <row r="12" spans="2:6" x14ac:dyDescent="0.35">
      <c r="B12" s="33" t="s">
        <v>10</v>
      </c>
      <c r="C12" s="34" t="s">
        <v>21</v>
      </c>
      <c r="D12" s="22">
        <v>1300000</v>
      </c>
      <c r="E12" s="399"/>
      <c r="F12" s="1">
        <v>80</v>
      </c>
    </row>
    <row r="13" spans="2:6" ht="15" thickBot="1" x14ac:dyDescent="0.4">
      <c r="B13" s="29" t="s">
        <v>10</v>
      </c>
      <c r="C13" s="30" t="s">
        <v>17</v>
      </c>
      <c r="D13" s="31">
        <v>4300000</v>
      </c>
      <c r="E13" s="400"/>
      <c r="F13" s="1">
        <v>33</v>
      </c>
    </row>
    <row r="14" spans="2:6" ht="15" thickBot="1" x14ac:dyDescent="0.4">
      <c r="B14" s="54"/>
      <c r="C14" s="55"/>
      <c r="D14" s="56"/>
      <c r="E14" s="57"/>
      <c r="F14" s="1">
        <v>34</v>
      </c>
    </row>
    <row r="15" spans="2:6" x14ac:dyDescent="0.35">
      <c r="B15" s="58" t="s">
        <v>12</v>
      </c>
      <c r="C15" s="59" t="s">
        <v>22</v>
      </c>
      <c r="D15" s="60">
        <v>9930000</v>
      </c>
      <c r="E15" s="398">
        <v>18200000</v>
      </c>
    </row>
    <row r="16" spans="2:6" x14ac:dyDescent="0.35">
      <c r="B16" s="27" t="s">
        <v>12</v>
      </c>
      <c r="C16" s="26" t="s">
        <v>23</v>
      </c>
      <c r="D16" s="2">
        <v>4500000</v>
      </c>
      <c r="E16" s="399"/>
      <c r="F16" s="1">
        <f>SUM(F12:F15)</f>
        <v>147</v>
      </c>
    </row>
    <row r="17" spans="2:5" x14ac:dyDescent="0.35">
      <c r="B17" s="33" t="s">
        <v>12</v>
      </c>
      <c r="C17" s="34" t="s">
        <v>18</v>
      </c>
      <c r="D17" s="22">
        <v>5000000</v>
      </c>
      <c r="E17" s="399"/>
    </row>
    <row r="18" spans="2:5" ht="15" thickBot="1" x14ac:dyDescent="0.4">
      <c r="B18" s="29" t="s">
        <v>12</v>
      </c>
      <c r="C18" s="30" t="s">
        <v>24</v>
      </c>
      <c r="D18" s="31"/>
      <c r="E18" s="32">
        <v>-1300000</v>
      </c>
    </row>
    <row r="19" spans="2:5" x14ac:dyDescent="0.35">
      <c r="B19" s="58" t="s">
        <v>34</v>
      </c>
      <c r="C19" s="59" t="s">
        <v>35</v>
      </c>
      <c r="D19" s="60">
        <v>2500000</v>
      </c>
      <c r="E19" s="401">
        <f>+SUM(D19:D20)</f>
        <v>11000000</v>
      </c>
    </row>
    <row r="20" spans="2:5" ht="15" thickBot="1" x14ac:dyDescent="0.4">
      <c r="B20" s="29" t="s">
        <v>34</v>
      </c>
      <c r="C20" s="30" t="s">
        <v>23</v>
      </c>
      <c r="D20" s="31">
        <v>8500000</v>
      </c>
      <c r="E20" s="402"/>
    </row>
    <row r="21" spans="2:5" x14ac:dyDescent="0.35">
      <c r="B21" s="58" t="s">
        <v>76</v>
      </c>
      <c r="C21" s="59" t="s">
        <v>77</v>
      </c>
      <c r="D21" s="60">
        <v>10000000</v>
      </c>
      <c r="E21" s="401">
        <f>SUM(D21:D23)</f>
        <v>25000000</v>
      </c>
    </row>
    <row r="22" spans="2:5" x14ac:dyDescent="0.35">
      <c r="B22" s="27" t="s">
        <v>76</v>
      </c>
      <c r="C22" s="26" t="s">
        <v>78</v>
      </c>
      <c r="D22" s="2">
        <v>10000000</v>
      </c>
      <c r="E22" s="403"/>
    </row>
    <row r="23" spans="2:5" ht="15" thickBot="1" x14ac:dyDescent="0.4">
      <c r="B23" s="29" t="s">
        <v>76</v>
      </c>
      <c r="C23" s="30" t="s">
        <v>133</v>
      </c>
      <c r="D23" s="31">
        <v>5000000</v>
      </c>
      <c r="E23" s="402"/>
    </row>
    <row r="24" spans="2:5" ht="15" thickBot="1" x14ac:dyDescent="0.4">
      <c r="B24" s="221" t="s">
        <v>79</v>
      </c>
      <c r="C24" s="131" t="s">
        <v>81</v>
      </c>
      <c r="D24" s="132">
        <v>3600000</v>
      </c>
      <c r="E24" s="217">
        <f>D24</f>
        <v>3600000</v>
      </c>
    </row>
    <row r="25" spans="2:5" x14ac:dyDescent="0.35">
      <c r="B25" s="58" t="s">
        <v>79</v>
      </c>
      <c r="C25" s="59" t="s">
        <v>155</v>
      </c>
      <c r="D25" s="60">
        <v>3000000</v>
      </c>
      <c r="E25" s="401">
        <v>5000000</v>
      </c>
    </row>
    <row r="26" spans="2:5" ht="15" thickBot="1" x14ac:dyDescent="0.4">
      <c r="B26" s="29" t="s">
        <v>154</v>
      </c>
      <c r="C26" s="30" t="s">
        <v>153</v>
      </c>
      <c r="D26" s="31">
        <v>2500000</v>
      </c>
      <c r="E26" s="402"/>
    </row>
    <row r="27" spans="2:5" x14ac:dyDescent="0.35">
      <c r="B27" s="47" t="s">
        <v>132</v>
      </c>
      <c r="C27" s="48" t="s">
        <v>133</v>
      </c>
      <c r="D27" s="3">
        <v>5000000</v>
      </c>
      <c r="E27" s="49"/>
    </row>
    <row r="28" spans="2:5" x14ac:dyDescent="0.35">
      <c r="B28" s="47" t="s">
        <v>123</v>
      </c>
      <c r="C28" s="48" t="s">
        <v>128</v>
      </c>
      <c r="D28" s="3">
        <v>8000000</v>
      </c>
      <c r="E28" s="49"/>
    </row>
    <row r="29" spans="2:5" x14ac:dyDescent="0.35">
      <c r="B29" s="47" t="s">
        <v>123</v>
      </c>
      <c r="C29" s="48" t="s">
        <v>129</v>
      </c>
      <c r="D29" s="3">
        <v>9500000</v>
      </c>
      <c r="E29" s="49"/>
    </row>
    <row r="30" spans="2:5" x14ac:dyDescent="0.35">
      <c r="B30" s="47" t="s">
        <v>123</v>
      </c>
      <c r="C30" s="48" t="s">
        <v>130</v>
      </c>
      <c r="D30" s="3">
        <v>4650000</v>
      </c>
      <c r="E30" s="49"/>
    </row>
    <row r="31" spans="2:5" x14ac:dyDescent="0.35">
      <c r="B31" s="47" t="s">
        <v>123</v>
      </c>
      <c r="C31" s="48" t="s">
        <v>131</v>
      </c>
      <c r="D31" s="3">
        <v>350000</v>
      </c>
      <c r="E31" s="49"/>
    </row>
    <row r="32" spans="2:5" x14ac:dyDescent="0.35">
      <c r="B32" s="47" t="s">
        <v>124</v>
      </c>
      <c r="C32" s="48" t="s">
        <v>127</v>
      </c>
      <c r="D32" s="3">
        <v>9000000</v>
      </c>
      <c r="E32" s="49"/>
    </row>
    <row r="33" spans="1:12" x14ac:dyDescent="0.35">
      <c r="B33" s="47" t="s">
        <v>124</v>
      </c>
      <c r="C33" s="48" t="s">
        <v>136</v>
      </c>
      <c r="D33" s="3">
        <v>800000</v>
      </c>
      <c r="E33" s="49"/>
    </row>
    <row r="34" spans="1:12" x14ac:dyDescent="0.35">
      <c r="B34" s="27" t="s">
        <v>124</v>
      </c>
      <c r="C34" s="26" t="s">
        <v>135</v>
      </c>
      <c r="D34" s="2">
        <v>900000</v>
      </c>
      <c r="E34" s="28"/>
    </row>
    <row r="35" spans="1:12" x14ac:dyDescent="0.35">
      <c r="B35" s="47" t="s">
        <v>124</v>
      </c>
      <c r="C35" s="48" t="s">
        <v>134</v>
      </c>
      <c r="D35" s="3">
        <v>460000</v>
      </c>
      <c r="E35" s="49"/>
    </row>
    <row r="36" spans="1:12" x14ac:dyDescent="0.35">
      <c r="B36" s="47"/>
      <c r="C36" s="48"/>
      <c r="D36" s="3"/>
      <c r="E36" s="49"/>
    </row>
    <row r="37" spans="1:12" ht="15" thickBot="1" x14ac:dyDescent="0.4">
      <c r="B37" s="54"/>
      <c r="C37" s="55"/>
      <c r="D37" s="56"/>
      <c r="E37" s="57"/>
    </row>
    <row r="38" spans="1:12" x14ac:dyDescent="0.35">
      <c r="B38" s="58" t="s">
        <v>239</v>
      </c>
      <c r="C38" s="59" t="s">
        <v>240</v>
      </c>
      <c r="D38" s="60">
        <v>9000000</v>
      </c>
      <c r="E38" s="401">
        <f>SUM(D38:D40)</f>
        <v>14000000</v>
      </c>
    </row>
    <row r="39" spans="1:12" x14ac:dyDescent="0.35">
      <c r="B39" s="47" t="s">
        <v>239</v>
      </c>
      <c r="C39" s="48" t="s">
        <v>241</v>
      </c>
      <c r="D39" s="3">
        <v>4500000</v>
      </c>
      <c r="E39" s="403"/>
    </row>
    <row r="40" spans="1:12" ht="15" thickBot="1" x14ac:dyDescent="0.4">
      <c r="B40" s="275" t="s">
        <v>239</v>
      </c>
      <c r="C40" s="276" t="s">
        <v>242</v>
      </c>
      <c r="D40" s="277">
        <v>500000</v>
      </c>
      <c r="E40" s="402"/>
    </row>
    <row r="41" spans="1:12" x14ac:dyDescent="0.35">
      <c r="B41" s="58" t="s">
        <v>243</v>
      </c>
      <c r="C41" s="59" t="s">
        <v>8</v>
      </c>
      <c r="D41" s="60">
        <v>8000000</v>
      </c>
      <c r="E41" s="401">
        <f>D41+D42</f>
        <v>17380000</v>
      </c>
    </row>
    <row r="42" spans="1:12" ht="15" thickBot="1" x14ac:dyDescent="0.4">
      <c r="B42" s="275" t="s">
        <v>243</v>
      </c>
      <c r="C42" s="276" t="s">
        <v>244</v>
      </c>
      <c r="D42" s="277">
        <v>9380000</v>
      </c>
      <c r="E42" s="402"/>
    </row>
    <row r="43" spans="1:12" x14ac:dyDescent="0.35">
      <c r="B43" s="54"/>
      <c r="C43" s="55"/>
      <c r="D43" s="56"/>
      <c r="E43" s="57"/>
    </row>
    <row r="44" spans="1:12" x14ac:dyDescent="0.35">
      <c r="B44" s="54"/>
      <c r="C44" s="55"/>
      <c r="D44" s="56"/>
      <c r="E44" s="57"/>
    </row>
    <row r="45" spans="1:12" x14ac:dyDescent="0.35">
      <c r="B45" s="47"/>
      <c r="C45" s="48"/>
      <c r="D45" s="3"/>
      <c r="E45" s="49"/>
    </row>
    <row r="46" spans="1:12" ht="15" thickBot="1" x14ac:dyDescent="0.4">
      <c r="B46" s="1"/>
      <c r="E46" s="1"/>
      <c r="H46" s="29"/>
      <c r="I46" s="30"/>
      <c r="J46" s="31"/>
      <c r="K46" s="32"/>
      <c r="L46" s="1"/>
    </row>
    <row r="47" spans="1:12" s="24" customFormat="1" ht="19" thickBot="1" x14ac:dyDescent="0.5">
      <c r="A47"/>
      <c r="B47" s="404" t="s">
        <v>192</v>
      </c>
      <c r="C47" s="404"/>
      <c r="D47" s="404"/>
      <c r="E47" s="404"/>
      <c r="F47" s="1"/>
      <c r="H47" s="35"/>
      <c r="I47" s="36"/>
      <c r="J47" s="37">
        <f>SUM(D5:D46)</f>
        <v>152720000</v>
      </c>
      <c r="K47" s="38">
        <f>SUM(E5:E46)</f>
        <v>109980000</v>
      </c>
      <c r="L47" s="11"/>
    </row>
    <row r="48" spans="1:12" ht="19" thickBot="1" x14ac:dyDescent="0.4">
      <c r="B48" s="266" t="s">
        <v>1</v>
      </c>
      <c r="C48" s="267" t="s">
        <v>25</v>
      </c>
      <c r="D48" s="267" t="s">
        <v>68</v>
      </c>
      <c r="E48" s="268" t="s">
        <v>193</v>
      </c>
      <c r="J48" s="1"/>
      <c r="K48" s="25"/>
      <c r="L48" s="1"/>
    </row>
    <row r="49" spans="2:12" x14ac:dyDescent="0.35">
      <c r="B49" s="269"/>
      <c r="C49" s="270"/>
      <c r="D49" s="271"/>
      <c r="E49" s="247"/>
      <c r="J49" s="1"/>
      <c r="K49" s="25"/>
      <c r="L49" s="1"/>
    </row>
    <row r="50" spans="2:12" x14ac:dyDescent="0.35">
      <c r="B50" s="13" t="s">
        <v>194</v>
      </c>
      <c r="C50" s="26" t="s">
        <v>195</v>
      </c>
      <c r="D50" s="2">
        <v>10000000</v>
      </c>
      <c r="E50" s="154" t="s">
        <v>196</v>
      </c>
      <c r="J50" s="1"/>
      <c r="K50" s="25"/>
      <c r="L50" s="1"/>
    </row>
    <row r="51" spans="2:12" x14ac:dyDescent="0.35">
      <c r="B51" s="13" t="s">
        <v>194</v>
      </c>
      <c r="C51" s="26" t="s">
        <v>197</v>
      </c>
      <c r="D51" s="2">
        <v>70000</v>
      </c>
      <c r="E51" s="154" t="s">
        <v>196</v>
      </c>
      <c r="J51" s="1"/>
      <c r="K51" s="25"/>
      <c r="L51" s="1"/>
    </row>
    <row r="52" spans="2:12" x14ac:dyDescent="0.35">
      <c r="B52" s="13" t="s">
        <v>198</v>
      </c>
      <c r="C52" s="26" t="s">
        <v>199</v>
      </c>
      <c r="D52" s="2">
        <v>2500000</v>
      </c>
      <c r="E52" s="154" t="s">
        <v>199</v>
      </c>
      <c r="J52" s="1"/>
      <c r="K52" s="25"/>
      <c r="L52" s="1"/>
    </row>
    <row r="53" spans="2:12" ht="16" thickBot="1" x14ac:dyDescent="0.4">
      <c r="B53" s="13" t="s">
        <v>200</v>
      </c>
      <c r="C53" s="26" t="s">
        <v>201</v>
      </c>
      <c r="D53" s="2">
        <v>12500</v>
      </c>
      <c r="E53" s="154" t="s">
        <v>199</v>
      </c>
      <c r="H53" s="397" t="s">
        <v>142</v>
      </c>
      <c r="I53" s="397"/>
      <c r="J53" s="397"/>
      <c r="K53" s="397"/>
      <c r="L53" s="1"/>
    </row>
    <row r="54" spans="2:12" ht="16" thickBot="1" x14ac:dyDescent="0.4">
      <c r="B54" s="13" t="s">
        <v>76</v>
      </c>
      <c r="C54" s="72" t="s">
        <v>202</v>
      </c>
      <c r="D54" s="6">
        <v>1500000</v>
      </c>
      <c r="E54" s="15" t="s">
        <v>202</v>
      </c>
      <c r="H54" s="214" t="s">
        <v>1</v>
      </c>
      <c r="I54" s="215" t="s">
        <v>25</v>
      </c>
      <c r="J54" s="215" t="s">
        <v>26</v>
      </c>
      <c r="K54" s="216" t="s">
        <v>27</v>
      </c>
      <c r="L54" s="1"/>
    </row>
    <row r="55" spans="2:12" x14ac:dyDescent="0.35">
      <c r="B55" s="13" t="s">
        <v>76</v>
      </c>
      <c r="C55" s="72" t="s">
        <v>203</v>
      </c>
      <c r="D55" s="6">
        <f>15*400</f>
        <v>6000</v>
      </c>
      <c r="E55" s="15" t="s">
        <v>202</v>
      </c>
      <c r="H55" s="47" t="s">
        <v>59</v>
      </c>
      <c r="I55" s="48" t="s">
        <v>143</v>
      </c>
      <c r="J55" s="3">
        <v>0</v>
      </c>
      <c r="K55" s="49">
        <v>3000000</v>
      </c>
      <c r="L55" s="1"/>
    </row>
    <row r="56" spans="2:12" x14ac:dyDescent="0.35">
      <c r="B56" s="13" t="s">
        <v>76</v>
      </c>
      <c r="C56" s="72" t="s">
        <v>204</v>
      </c>
      <c r="D56" s="6">
        <v>250000</v>
      </c>
      <c r="E56" s="15" t="s">
        <v>205</v>
      </c>
      <c r="H56" s="27" t="s">
        <v>59</v>
      </c>
      <c r="I56" s="26" t="s">
        <v>144</v>
      </c>
      <c r="J56" s="2">
        <v>0</v>
      </c>
      <c r="K56" s="28">
        <v>5528000</v>
      </c>
      <c r="L56" s="1"/>
    </row>
    <row r="57" spans="2:12" x14ac:dyDescent="0.35">
      <c r="B57" s="14" t="s">
        <v>76</v>
      </c>
      <c r="C57" s="72" t="s">
        <v>206</v>
      </c>
      <c r="D57" s="6">
        <v>250000</v>
      </c>
      <c r="E57" s="15" t="s">
        <v>207</v>
      </c>
      <c r="H57" s="27" t="s">
        <v>59</v>
      </c>
      <c r="I57" s="26" t="s">
        <v>145</v>
      </c>
      <c r="J57" s="2">
        <v>0</v>
      </c>
      <c r="K57" s="28">
        <v>6500000</v>
      </c>
      <c r="L57" s="1"/>
    </row>
    <row r="58" spans="2:12" x14ac:dyDescent="0.35">
      <c r="B58" s="14" t="s">
        <v>76</v>
      </c>
      <c r="C58" s="72" t="s">
        <v>208</v>
      </c>
      <c r="D58" s="6">
        <v>1000</v>
      </c>
      <c r="E58" s="15" t="s">
        <v>207</v>
      </c>
      <c r="H58" s="27" t="s">
        <v>59</v>
      </c>
      <c r="I58" s="26" t="s">
        <v>145</v>
      </c>
      <c r="J58" s="2">
        <v>0</v>
      </c>
      <c r="K58" s="28">
        <v>5000000</v>
      </c>
      <c r="L58" s="1"/>
    </row>
    <row r="59" spans="2:12" x14ac:dyDescent="0.35">
      <c r="B59" s="14" t="s">
        <v>209</v>
      </c>
      <c r="C59" s="72" t="s">
        <v>210</v>
      </c>
      <c r="D59" s="6">
        <v>900000</v>
      </c>
      <c r="E59" s="15" t="s">
        <v>211</v>
      </c>
      <c r="H59" s="27" t="s">
        <v>59</v>
      </c>
      <c r="I59" s="26" t="s">
        <v>63</v>
      </c>
      <c r="J59" s="2">
        <v>10000000</v>
      </c>
      <c r="K59" s="28">
        <v>0</v>
      </c>
      <c r="L59" s="1"/>
    </row>
    <row r="60" spans="2:12" x14ac:dyDescent="0.35">
      <c r="B60" s="14" t="s">
        <v>209</v>
      </c>
      <c r="C60" s="26" t="s">
        <v>212</v>
      </c>
      <c r="D60" s="6">
        <v>5400</v>
      </c>
      <c r="E60" s="15" t="s">
        <v>211</v>
      </c>
      <c r="H60" s="27" t="s">
        <v>59</v>
      </c>
      <c r="I60" s="26" t="s">
        <v>64</v>
      </c>
      <c r="J60" s="2">
        <v>6000000</v>
      </c>
      <c r="K60" s="28">
        <v>0</v>
      </c>
      <c r="L60" s="1"/>
    </row>
    <row r="61" spans="2:12" x14ac:dyDescent="0.35">
      <c r="B61" s="14" t="s">
        <v>88</v>
      </c>
      <c r="C61" s="72" t="s">
        <v>213</v>
      </c>
      <c r="D61" s="6">
        <v>2200000</v>
      </c>
      <c r="E61" s="15" t="s">
        <v>213</v>
      </c>
      <c r="H61" s="27" t="s">
        <v>59</v>
      </c>
      <c r="I61" s="26" t="s">
        <v>65</v>
      </c>
      <c r="J61" s="2">
        <v>4000000</v>
      </c>
      <c r="K61" s="28">
        <v>0</v>
      </c>
      <c r="L61" s="1"/>
    </row>
    <row r="62" spans="2:12" x14ac:dyDescent="0.35">
      <c r="B62" s="14" t="s">
        <v>88</v>
      </c>
      <c r="C62" s="72" t="s">
        <v>214</v>
      </c>
      <c r="D62" s="6">
        <f>22*700</f>
        <v>15400</v>
      </c>
      <c r="E62" s="15" t="s">
        <v>213</v>
      </c>
      <c r="H62" s="27" t="s">
        <v>147</v>
      </c>
      <c r="I62" s="26" t="s">
        <v>138</v>
      </c>
      <c r="J62" s="2">
        <v>0</v>
      </c>
      <c r="K62" s="28">
        <v>10000000</v>
      </c>
      <c r="L62" s="1"/>
    </row>
    <row r="63" spans="2:12" x14ac:dyDescent="0.35">
      <c r="B63" s="14" t="s">
        <v>215</v>
      </c>
      <c r="C63" s="72" t="s">
        <v>216</v>
      </c>
      <c r="D63" s="6">
        <v>500000</v>
      </c>
      <c r="E63" s="15" t="s">
        <v>216</v>
      </c>
      <c r="H63" s="27" t="s">
        <v>148</v>
      </c>
      <c r="I63" s="26" t="s">
        <v>139</v>
      </c>
      <c r="J63" s="2">
        <v>10000000</v>
      </c>
      <c r="K63" s="28">
        <v>0</v>
      </c>
      <c r="L63" s="1"/>
    </row>
    <row r="64" spans="2:12" x14ac:dyDescent="0.35">
      <c r="B64" s="14" t="s">
        <v>215</v>
      </c>
      <c r="C64" s="72" t="s">
        <v>217</v>
      </c>
      <c r="D64" s="6">
        <v>3000</v>
      </c>
      <c r="E64" s="15" t="s">
        <v>216</v>
      </c>
      <c r="H64" s="27" t="s">
        <v>141</v>
      </c>
      <c r="I64" s="26" t="s">
        <v>140</v>
      </c>
      <c r="J64" s="2">
        <v>0</v>
      </c>
      <c r="K64" s="28">
        <v>10000000</v>
      </c>
      <c r="L64" s="1"/>
    </row>
    <row r="65" spans="1:12" x14ac:dyDescent="0.35">
      <c r="B65" s="14"/>
      <c r="C65" s="72" t="s">
        <v>218</v>
      </c>
      <c r="D65" s="6">
        <f>+P84</f>
        <v>0</v>
      </c>
      <c r="E65" s="15"/>
      <c r="H65" s="27" t="s">
        <v>141</v>
      </c>
      <c r="I65" s="26" t="s">
        <v>139</v>
      </c>
      <c r="J65" s="2">
        <v>10000000</v>
      </c>
      <c r="K65" s="28">
        <v>0</v>
      </c>
      <c r="L65" s="1"/>
    </row>
    <row r="66" spans="1:12" x14ac:dyDescent="0.35">
      <c r="B66" s="14" t="s">
        <v>154</v>
      </c>
      <c r="C66" s="72" t="s">
        <v>219</v>
      </c>
      <c r="D66" s="6">
        <v>200000</v>
      </c>
      <c r="E66" s="15" t="s">
        <v>219</v>
      </c>
      <c r="H66" s="27" t="s">
        <v>146</v>
      </c>
      <c r="I66" s="26" t="s">
        <v>101</v>
      </c>
      <c r="J66" s="2">
        <v>0</v>
      </c>
      <c r="K66" s="28">
        <v>6000000</v>
      </c>
      <c r="L66" s="1"/>
    </row>
    <row r="67" spans="1:12" x14ac:dyDescent="0.35">
      <c r="B67" s="14" t="s">
        <v>154</v>
      </c>
      <c r="C67" s="72" t="s">
        <v>220</v>
      </c>
      <c r="D67" s="6">
        <v>800</v>
      </c>
      <c r="E67" s="15" t="s">
        <v>219</v>
      </c>
      <c r="H67" s="27" t="s">
        <v>146</v>
      </c>
      <c r="I67" s="26" t="s">
        <v>149</v>
      </c>
      <c r="J67" s="2">
        <v>0</v>
      </c>
      <c r="K67" s="28">
        <v>4000000</v>
      </c>
      <c r="L67" s="1"/>
    </row>
    <row r="68" spans="1:12" x14ac:dyDescent="0.35">
      <c r="B68" s="14" t="s">
        <v>132</v>
      </c>
      <c r="C68" s="72" t="s">
        <v>221</v>
      </c>
      <c r="D68" s="6">
        <v>250000</v>
      </c>
      <c r="E68" s="15" t="s">
        <v>221</v>
      </c>
      <c r="H68" s="27" t="s">
        <v>150</v>
      </c>
      <c r="I68" s="26" t="s">
        <v>139</v>
      </c>
      <c r="J68" s="2">
        <v>10000000</v>
      </c>
      <c r="K68" s="28">
        <v>0</v>
      </c>
      <c r="L68" s="1"/>
    </row>
    <row r="69" spans="1:12" x14ac:dyDescent="0.35">
      <c r="B69" s="14" t="s">
        <v>132</v>
      </c>
      <c r="C69" s="72" t="s">
        <v>222</v>
      </c>
      <c r="D69" s="6">
        <v>1000</v>
      </c>
      <c r="E69" s="15" t="s">
        <v>221</v>
      </c>
      <c r="H69" s="27" t="s">
        <v>156</v>
      </c>
      <c r="I69" s="26" t="s">
        <v>145</v>
      </c>
      <c r="J69" s="2">
        <v>0</v>
      </c>
      <c r="K69" s="28">
        <v>10000000</v>
      </c>
      <c r="L69" s="1"/>
    </row>
    <row r="70" spans="1:12" x14ac:dyDescent="0.35">
      <c r="B70" s="14" t="s">
        <v>223</v>
      </c>
      <c r="C70" s="72" t="s">
        <v>221</v>
      </c>
      <c r="D70" s="6">
        <v>2900000</v>
      </c>
      <c r="E70" s="15" t="s">
        <v>221</v>
      </c>
      <c r="H70" s="27" t="s">
        <v>157</v>
      </c>
      <c r="I70" s="26" t="s">
        <v>139</v>
      </c>
      <c r="J70" s="2">
        <v>4472000</v>
      </c>
      <c r="K70" s="28">
        <v>0</v>
      </c>
      <c r="L70" s="1"/>
    </row>
    <row r="71" spans="1:12" x14ac:dyDescent="0.35">
      <c r="B71" s="14" t="s">
        <v>223</v>
      </c>
      <c r="C71" s="72" t="s">
        <v>222</v>
      </c>
      <c r="D71" s="6">
        <v>8700</v>
      </c>
      <c r="E71" s="15" t="s">
        <v>221</v>
      </c>
      <c r="H71" s="27" t="s">
        <v>157</v>
      </c>
      <c r="I71" s="26" t="s">
        <v>144</v>
      </c>
      <c r="J71" s="2">
        <v>5528000</v>
      </c>
      <c r="K71" s="28">
        <v>0</v>
      </c>
      <c r="L71" s="1"/>
    </row>
    <row r="72" spans="1:12" x14ac:dyDescent="0.35">
      <c r="B72" s="14" t="s">
        <v>224</v>
      </c>
      <c r="C72" s="72" t="s">
        <v>213</v>
      </c>
      <c r="D72" s="6">
        <v>2000000</v>
      </c>
      <c r="E72" s="15" t="s">
        <v>213</v>
      </c>
      <c r="H72" s="27"/>
      <c r="I72" s="26"/>
      <c r="J72" s="2"/>
      <c r="K72" s="28"/>
      <c r="L72" s="1"/>
    </row>
    <row r="73" spans="1:12" x14ac:dyDescent="0.35">
      <c r="B73" s="14" t="s">
        <v>224</v>
      </c>
      <c r="C73" s="72" t="s">
        <v>214</v>
      </c>
      <c r="D73" s="6">
        <v>140000</v>
      </c>
      <c r="E73" s="15" t="s">
        <v>213</v>
      </c>
      <c r="H73" s="27"/>
      <c r="I73" s="26"/>
      <c r="J73" s="2"/>
      <c r="K73" s="28"/>
      <c r="L73" s="1"/>
    </row>
    <row r="74" spans="1:12" x14ac:dyDescent="0.35">
      <c r="B74" s="14" t="s">
        <v>124</v>
      </c>
      <c r="C74" s="72" t="s">
        <v>225</v>
      </c>
      <c r="D74" s="6">
        <v>2000000</v>
      </c>
      <c r="E74" s="15" t="s">
        <v>225</v>
      </c>
      <c r="H74" s="27"/>
      <c r="I74" s="26"/>
      <c r="J74" s="2"/>
      <c r="K74" s="28"/>
      <c r="L74" s="1"/>
    </row>
    <row r="75" spans="1:12" ht="15" thickBot="1" x14ac:dyDescent="0.4">
      <c r="B75" s="14" t="s">
        <v>124</v>
      </c>
      <c r="C75" s="72" t="s">
        <v>226</v>
      </c>
      <c r="D75" s="6">
        <v>10000</v>
      </c>
      <c r="E75" s="15" t="s">
        <v>225</v>
      </c>
      <c r="H75" s="29"/>
      <c r="I75" s="30"/>
      <c r="J75" s="31"/>
      <c r="K75" s="32"/>
      <c r="L75" s="1"/>
    </row>
    <row r="76" spans="1:12" s="24" customFormat="1" ht="15" thickBot="1" x14ac:dyDescent="0.4">
      <c r="A76"/>
      <c r="B76" s="14" t="s">
        <v>227</v>
      </c>
      <c r="C76" s="72" t="s">
        <v>228</v>
      </c>
      <c r="D76" s="6">
        <v>1000000</v>
      </c>
      <c r="E76" s="15" t="s">
        <v>228</v>
      </c>
      <c r="F76" s="1"/>
      <c r="H76" s="35"/>
      <c r="I76" s="36" t="s">
        <v>3</v>
      </c>
      <c r="J76" s="37">
        <f>SUM(J55:J75)</f>
        <v>60000000</v>
      </c>
      <c r="K76" s="210">
        <f>SUM(K55:K75)</f>
        <v>60028000</v>
      </c>
      <c r="L76" s="11"/>
    </row>
    <row r="77" spans="1:12" x14ac:dyDescent="0.35">
      <c r="B77" s="14" t="s">
        <v>227</v>
      </c>
      <c r="C77" s="72" t="s">
        <v>229</v>
      </c>
      <c r="D77" s="6">
        <v>4000</v>
      </c>
      <c r="E77" s="15" t="s">
        <v>228</v>
      </c>
      <c r="J77" s="1"/>
      <c r="K77" s="25"/>
      <c r="L77" s="1"/>
    </row>
    <row r="78" spans="1:12" x14ac:dyDescent="0.35">
      <c r="B78" s="14" t="s">
        <v>230</v>
      </c>
      <c r="C78" s="72" t="s">
        <v>202</v>
      </c>
      <c r="D78" s="6">
        <v>400000</v>
      </c>
      <c r="E78" s="15" t="s">
        <v>202</v>
      </c>
      <c r="J78" s="1"/>
      <c r="K78" s="25"/>
      <c r="L78" s="1"/>
    </row>
    <row r="79" spans="1:12" x14ac:dyDescent="0.35">
      <c r="B79" s="14" t="s">
        <v>230</v>
      </c>
      <c r="C79" s="72" t="s">
        <v>203</v>
      </c>
      <c r="D79" s="6">
        <v>1600</v>
      </c>
      <c r="E79" s="15" t="s">
        <v>202</v>
      </c>
      <c r="J79" s="1"/>
      <c r="K79" s="25"/>
      <c r="L79" s="1"/>
    </row>
    <row r="80" spans="1:12" x14ac:dyDescent="0.35">
      <c r="B80" s="14" t="s">
        <v>150</v>
      </c>
      <c r="C80" s="72" t="s">
        <v>228</v>
      </c>
      <c r="D80" s="6">
        <v>1950000</v>
      </c>
      <c r="E80" s="15" t="s">
        <v>228</v>
      </c>
      <c r="J80" s="1"/>
      <c r="K80" s="25"/>
      <c r="L80" s="1"/>
    </row>
    <row r="81" spans="2:12" x14ac:dyDescent="0.35">
      <c r="B81" s="14" t="s">
        <v>150</v>
      </c>
      <c r="C81" s="72" t="s">
        <v>229</v>
      </c>
      <c r="D81" s="6">
        <f>19.5*500</f>
        <v>9750</v>
      </c>
      <c r="E81" s="15" t="s">
        <v>228</v>
      </c>
      <c r="J81" s="1"/>
      <c r="K81" s="25"/>
      <c r="L81" s="1"/>
    </row>
    <row r="82" spans="2:12" x14ac:dyDescent="0.35">
      <c r="B82" s="14"/>
      <c r="C82" s="72"/>
      <c r="D82" s="6"/>
      <c r="E82" s="15"/>
      <c r="J82" s="1"/>
      <c r="K82" s="25"/>
      <c r="L82" s="1"/>
    </row>
    <row r="83" spans="2:12" ht="15" thickBot="1" x14ac:dyDescent="0.4">
      <c r="B83" s="174"/>
      <c r="C83" s="30"/>
      <c r="D83" s="31"/>
      <c r="E83" s="248"/>
      <c r="J83" s="1"/>
      <c r="K83" s="25"/>
      <c r="L83" s="1"/>
    </row>
    <row r="84" spans="2:12" ht="16" thickBot="1" x14ac:dyDescent="0.4">
      <c r="B84" s="17"/>
      <c r="C84" s="272" t="s">
        <v>3</v>
      </c>
      <c r="D84" s="18">
        <f>SUM(D49:D83)</f>
        <v>29089150</v>
      </c>
      <c r="E84" s="175"/>
      <c r="J84" s="1"/>
      <c r="K84" s="25"/>
      <c r="L84" s="1"/>
    </row>
    <row r="85" spans="2:12" x14ac:dyDescent="0.35">
      <c r="B85" s="13" t="s">
        <v>231</v>
      </c>
      <c r="C85" s="72" t="s">
        <v>232</v>
      </c>
      <c r="D85" s="6">
        <v>1600000</v>
      </c>
      <c r="E85" s="15"/>
      <c r="J85" s="1"/>
      <c r="K85" s="25"/>
      <c r="L85" s="1"/>
    </row>
    <row r="86" spans="2:12" x14ac:dyDescent="0.35">
      <c r="B86" s="13"/>
      <c r="C86" s="72" t="s">
        <v>233</v>
      </c>
      <c r="D86" s="6">
        <v>-3200</v>
      </c>
      <c r="E86" s="15"/>
      <c r="J86" s="1"/>
      <c r="K86" s="25"/>
      <c r="L86" s="1"/>
    </row>
    <row r="87" spans="2:12" x14ac:dyDescent="0.35">
      <c r="B87" s="14"/>
      <c r="C87" s="72" t="s">
        <v>234</v>
      </c>
      <c r="D87" s="6">
        <v>5000000</v>
      </c>
      <c r="E87" s="15"/>
      <c r="J87" s="1"/>
      <c r="K87" s="25"/>
      <c r="L87" s="1"/>
    </row>
    <row r="88" spans="2:12" x14ac:dyDescent="0.35">
      <c r="B88" s="14"/>
      <c r="C88" s="72" t="s">
        <v>235</v>
      </c>
      <c r="D88" s="6">
        <v>5000000</v>
      </c>
      <c r="E88" s="15"/>
      <c r="J88" s="1"/>
      <c r="K88" s="25"/>
      <c r="L88" s="1"/>
    </row>
    <row r="89" spans="2:12" x14ac:dyDescent="0.35">
      <c r="B89" s="14"/>
      <c r="C89" s="72" t="s">
        <v>236</v>
      </c>
      <c r="D89" s="6">
        <v>400000</v>
      </c>
      <c r="E89" s="15"/>
      <c r="J89" s="1"/>
      <c r="K89" s="25"/>
      <c r="L89" s="1"/>
    </row>
    <row r="90" spans="2:12" x14ac:dyDescent="0.35">
      <c r="B90" s="14"/>
      <c r="C90" s="72" t="s">
        <v>237</v>
      </c>
      <c r="D90" s="6">
        <v>3000000</v>
      </c>
      <c r="E90" s="15"/>
      <c r="J90" s="1"/>
      <c r="K90" s="25"/>
      <c r="L90" s="1"/>
    </row>
    <row r="91" spans="2:12" x14ac:dyDescent="0.35">
      <c r="B91" s="14"/>
      <c r="C91" s="72"/>
      <c r="D91" s="6"/>
      <c r="E91" s="15"/>
      <c r="J91" s="1"/>
      <c r="K91" s="25"/>
      <c r="L91" s="1"/>
    </row>
    <row r="92" spans="2:12" ht="15" thickBot="1" x14ac:dyDescent="0.4">
      <c r="B92" s="14"/>
      <c r="C92" s="72"/>
      <c r="D92" s="6"/>
      <c r="E92" s="15"/>
      <c r="J92" s="1"/>
      <c r="K92" s="25"/>
      <c r="L92" s="1"/>
    </row>
    <row r="93" spans="2:12" ht="19" thickBot="1" x14ac:dyDescent="0.5">
      <c r="B93" s="173"/>
      <c r="C93" s="273" t="s">
        <v>48</v>
      </c>
      <c r="D93" s="274">
        <f>D84-SUM(D85:D92)</f>
        <v>14092350</v>
      </c>
      <c r="E93" s="129"/>
      <c r="J93" s="1"/>
      <c r="K93" s="25"/>
      <c r="L93" s="1"/>
    </row>
    <row r="94" spans="2:12" x14ac:dyDescent="0.35">
      <c r="B94" s="1"/>
      <c r="E94" s="1"/>
      <c r="J94" s="1"/>
      <c r="K94" s="25"/>
      <c r="L94" s="1"/>
    </row>
    <row r="98" spans="2:7" ht="15" thickBot="1" x14ac:dyDescent="0.4"/>
    <row r="99" spans="2:7" ht="15" thickBot="1" x14ac:dyDescent="0.4">
      <c r="B99" s="68" t="s">
        <v>1</v>
      </c>
      <c r="C99" s="69" t="s">
        <v>25</v>
      </c>
      <c r="D99" s="74" t="s">
        <v>68</v>
      </c>
      <c r="E99" s="304" t="s">
        <v>306</v>
      </c>
      <c r="F99" s="129" t="s">
        <v>83</v>
      </c>
    </row>
    <row r="100" spans="2:7" x14ac:dyDescent="0.35">
      <c r="B100" s="47" t="s">
        <v>124</v>
      </c>
      <c r="C100" s="48" t="s">
        <v>305</v>
      </c>
      <c r="D100" s="3">
        <v>9000000</v>
      </c>
      <c r="E100" s="303">
        <v>0</v>
      </c>
      <c r="F100" s="155">
        <f t="shared" ref="F100:F109" si="0">D100-E100</f>
        <v>9000000</v>
      </c>
      <c r="G100" t="s">
        <v>60</v>
      </c>
    </row>
    <row r="101" spans="2:7" x14ac:dyDescent="0.35">
      <c r="B101" s="27" t="s">
        <v>239</v>
      </c>
      <c r="C101" s="26" t="s">
        <v>240</v>
      </c>
      <c r="D101" s="2">
        <v>9000000</v>
      </c>
      <c r="E101" s="293">
        <f>4000000+2560000+1700000</f>
        <v>8260000</v>
      </c>
      <c r="F101" s="154">
        <f t="shared" si="0"/>
        <v>740000</v>
      </c>
      <c r="G101" t="s">
        <v>60</v>
      </c>
    </row>
    <row r="102" spans="2:7" x14ac:dyDescent="0.35">
      <c r="B102" s="27" t="s">
        <v>239</v>
      </c>
      <c r="C102" s="26" t="s">
        <v>241</v>
      </c>
      <c r="D102" s="2">
        <v>4500000</v>
      </c>
      <c r="E102" s="293">
        <f>3000000+1500000</f>
        <v>4500000</v>
      </c>
      <c r="F102" s="154">
        <f t="shared" si="0"/>
        <v>0</v>
      </c>
      <c r="G102" t="s">
        <v>60</v>
      </c>
    </row>
    <row r="103" spans="2:7" x14ac:dyDescent="0.35">
      <c r="B103" s="27" t="s">
        <v>239</v>
      </c>
      <c r="C103" s="26" t="s">
        <v>311</v>
      </c>
      <c r="D103" s="2">
        <v>500000</v>
      </c>
      <c r="E103" s="293">
        <v>0</v>
      </c>
      <c r="F103" s="154">
        <f t="shared" si="0"/>
        <v>500000</v>
      </c>
      <c r="G103" t="s">
        <v>60</v>
      </c>
    </row>
    <row r="104" spans="2:7" x14ac:dyDescent="0.35">
      <c r="B104" s="27" t="s">
        <v>243</v>
      </c>
      <c r="C104" s="26" t="s">
        <v>8</v>
      </c>
      <c r="D104" s="2">
        <v>8000000</v>
      </c>
      <c r="E104" s="293">
        <f>3000000+5000000</f>
        <v>8000000</v>
      </c>
      <c r="F104" s="154">
        <f t="shared" si="0"/>
        <v>0</v>
      </c>
      <c r="G104" t="s">
        <v>60</v>
      </c>
    </row>
    <row r="105" spans="2:7" x14ac:dyDescent="0.35">
      <c r="B105" s="27" t="s">
        <v>147</v>
      </c>
      <c r="C105" s="26" t="s">
        <v>307</v>
      </c>
      <c r="D105" s="2">
        <v>4900000</v>
      </c>
      <c r="E105" s="293">
        <v>0</v>
      </c>
      <c r="F105" s="154">
        <f t="shared" si="0"/>
        <v>4900000</v>
      </c>
      <c r="G105" t="s">
        <v>312</v>
      </c>
    </row>
    <row r="106" spans="2:7" x14ac:dyDescent="0.35">
      <c r="B106" s="27" t="s">
        <v>247</v>
      </c>
      <c r="C106" s="26" t="s">
        <v>309</v>
      </c>
      <c r="D106" s="2">
        <v>2500000</v>
      </c>
      <c r="E106" s="293">
        <v>0</v>
      </c>
      <c r="F106" s="154">
        <f t="shared" si="0"/>
        <v>2500000</v>
      </c>
      <c r="G106" t="s">
        <v>312</v>
      </c>
    </row>
    <row r="107" spans="2:7" x14ac:dyDescent="0.35">
      <c r="B107" s="27" t="s">
        <v>247</v>
      </c>
      <c r="C107" s="26" t="s">
        <v>310</v>
      </c>
      <c r="D107" s="2">
        <v>2500000</v>
      </c>
      <c r="E107" s="293">
        <v>0</v>
      </c>
      <c r="F107" s="154">
        <f t="shared" si="0"/>
        <v>2500000</v>
      </c>
      <c r="G107" t="s">
        <v>312</v>
      </c>
    </row>
    <row r="108" spans="2:7" x14ac:dyDescent="0.35">
      <c r="B108" s="27" t="s">
        <v>255</v>
      </c>
      <c r="C108" s="26" t="s">
        <v>308</v>
      </c>
      <c r="D108" s="2">
        <v>3000000</v>
      </c>
      <c r="E108" s="293">
        <v>0</v>
      </c>
      <c r="F108" s="154">
        <f t="shared" si="0"/>
        <v>3000000</v>
      </c>
      <c r="G108" t="s">
        <v>312</v>
      </c>
    </row>
    <row r="109" spans="2:7" x14ac:dyDescent="0.35">
      <c r="B109" s="27" t="s">
        <v>263</v>
      </c>
      <c r="C109" s="26" t="s">
        <v>311</v>
      </c>
      <c r="D109" s="2">
        <v>3000000</v>
      </c>
      <c r="E109" s="293">
        <v>2500000</v>
      </c>
      <c r="F109" s="154">
        <f t="shared" si="0"/>
        <v>500000</v>
      </c>
      <c r="G109" t="s">
        <v>56</v>
      </c>
    </row>
    <row r="110" spans="2:7" x14ac:dyDescent="0.35">
      <c r="B110" s="27"/>
      <c r="C110" s="26"/>
      <c r="D110" s="2"/>
      <c r="E110" s="293"/>
      <c r="F110" s="154"/>
      <c r="G110" t="s">
        <v>56</v>
      </c>
    </row>
    <row r="111" spans="2:7" ht="15" thickBot="1" x14ac:dyDescent="0.4">
      <c r="B111" s="71"/>
      <c r="C111" s="72"/>
      <c r="D111" s="6"/>
      <c r="E111" s="302"/>
      <c r="F111" s="15"/>
    </row>
    <row r="112" spans="2:7" s="24" customFormat="1" ht="15" thickBot="1" x14ac:dyDescent="0.4">
      <c r="B112" s="68"/>
      <c r="C112" s="69"/>
      <c r="D112" s="74">
        <f>SUM(D100:D111)</f>
        <v>46900000</v>
      </c>
      <c r="E112" s="304">
        <f>SUM(E100:E111)</f>
        <v>23260000</v>
      </c>
      <c r="F112" s="305">
        <f>SUM(F100:F111)</f>
        <v>23640000</v>
      </c>
    </row>
  </sheetData>
  <mergeCells count="10">
    <mergeCell ref="H53:K53"/>
    <mergeCell ref="E7:E9"/>
    <mergeCell ref="E11:E13"/>
    <mergeCell ref="E15:E17"/>
    <mergeCell ref="E19:E20"/>
    <mergeCell ref="E21:E23"/>
    <mergeCell ref="E25:E26"/>
    <mergeCell ref="B47:E47"/>
    <mergeCell ref="E38:E40"/>
    <mergeCell ref="E41:E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Short Summary</vt:lpstr>
      <vt:lpstr>Other Expenses</vt:lpstr>
      <vt:lpstr>Partners Expenses</vt:lpstr>
      <vt:lpstr>Mahima Statement</vt:lpstr>
      <vt:lpstr>Our Arrangements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2026-05-30T12:42:43Z</dcterms:modified>
</cp:coreProperties>
</file>