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nin\AppData\Local\Temp\scp13883\pawan\JKCL\"/>
    </mc:Choice>
  </mc:AlternateContent>
  <xr:revisionPtr revIDLastSave="0" documentId="13_ncr:1_{D474D761-B3F9-4E87-A853-7DA4470FD636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JK - ALL" sheetId="8" r:id="rId1"/>
    <sheet name="Summary2" sheetId="4" state="hidden" r:id="rId2"/>
    <sheet name="201" sheetId="1" state="hidden" r:id="rId3"/>
    <sheet name="13" sheetId="2" state="hidden" r:id="rId4"/>
    <sheet name="RL Personal" sheetId="9" r:id="rId5"/>
    <sheet name="BR Personal" sheetId="5" r:id="rId6"/>
    <sheet name="Break-up BR Expenses" sheetId="10" r:id="rId7"/>
    <sheet name="Sheet2" sheetId="11" r:id="rId8"/>
    <sheet name="Interest Sheet" sheetId="12" r:id="rId9"/>
  </sheets>
  <definedNames>
    <definedName name="_xlnm.Print_Area" localSheetId="5">'BR Personal'!$C$1:$H$98</definedName>
    <definedName name="_xlnm.Print_Area" localSheetId="6">'Break-up BR Expenses'!$B$1:$L$114</definedName>
    <definedName name="_xlnm.Print_Area" localSheetId="4">'RL Personal'!$B$1:$F$95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8" l="1"/>
  <c r="F93" i="5"/>
  <c r="F87" i="5"/>
  <c r="F92" i="5"/>
  <c r="F91" i="5"/>
  <c r="F90" i="5"/>
  <c r="F89" i="5"/>
  <c r="F88" i="5"/>
  <c r="I5" i="12" l="1"/>
  <c r="J5" i="12"/>
  <c r="I6" i="12"/>
  <c r="J6" i="12"/>
  <c r="I7" i="12"/>
  <c r="J7" i="12"/>
  <c r="I8" i="12"/>
  <c r="J8" i="12"/>
  <c r="I9" i="12"/>
  <c r="J9" i="12"/>
  <c r="I10" i="12"/>
  <c r="J10" i="12"/>
  <c r="I11" i="12"/>
  <c r="J11" i="12"/>
  <c r="I12" i="12"/>
  <c r="J12" i="12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 s="1"/>
  <c r="I29" i="12"/>
  <c r="J29" i="12"/>
  <c r="I30" i="12"/>
  <c r="J30" i="12"/>
  <c r="I31" i="12"/>
  <c r="J31" i="12"/>
  <c r="E17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G4" i="12" l="1"/>
  <c r="I4" i="12" s="1"/>
  <c r="J4" i="12" s="1"/>
  <c r="E3" i="12" l="1"/>
  <c r="G3" i="12" s="1"/>
  <c r="I3" i="12" s="1"/>
  <c r="J3" i="12" s="1"/>
  <c r="D31" i="12"/>
  <c r="C171" i="8"/>
  <c r="D80" i="9"/>
  <c r="D66" i="9"/>
  <c r="D96" i="5"/>
  <c r="D77" i="5"/>
  <c r="F86" i="5"/>
  <c r="F85" i="5"/>
  <c r="F84" i="5"/>
  <c r="F82" i="5"/>
  <c r="E75" i="11"/>
  <c r="E111" i="10"/>
  <c r="F75" i="5"/>
  <c r="G109" i="8"/>
  <c r="C15" i="10" l="1"/>
  <c r="D136" i="11" l="1"/>
  <c r="D139" i="11" s="1"/>
  <c r="D120" i="11"/>
  <c r="D147" i="11"/>
  <c r="D94" i="11"/>
  <c r="D141" i="11" s="1"/>
  <c r="C77" i="11"/>
  <c r="E71" i="11"/>
  <c r="E70" i="11"/>
  <c r="E69" i="11"/>
  <c r="E68" i="11"/>
  <c r="E67" i="11"/>
  <c r="E66" i="11"/>
  <c r="E65" i="11"/>
  <c r="E64" i="11"/>
  <c r="E74" i="11"/>
  <c r="E55" i="11"/>
  <c r="E54" i="11"/>
  <c r="E53" i="11"/>
  <c r="E52" i="11"/>
  <c r="E51" i="11"/>
  <c r="E50" i="11"/>
  <c r="E49" i="11"/>
  <c r="E48" i="11"/>
  <c r="E47" i="11"/>
  <c r="E46" i="11"/>
  <c r="E45" i="11"/>
  <c r="E40" i="11"/>
  <c r="E21" i="11"/>
  <c r="E99" i="10"/>
  <c r="E57" i="11" l="1"/>
  <c r="E77" i="11"/>
  <c r="I62" i="9"/>
  <c r="D118" i="5"/>
  <c r="D121" i="5" s="1"/>
  <c r="F59" i="5"/>
  <c r="N35" i="10"/>
  <c r="I25" i="10"/>
  <c r="E25" i="10"/>
  <c r="O29" i="10"/>
  <c r="E24" i="10"/>
  <c r="E23" i="10"/>
  <c r="C28" i="10"/>
  <c r="E65" i="10"/>
  <c r="E81" i="10"/>
  <c r="E48" i="10"/>
  <c r="E47" i="10"/>
  <c r="E46" i="10"/>
  <c r="E132" i="8"/>
  <c r="I15" i="9"/>
  <c r="E37" i="10"/>
  <c r="E36" i="10"/>
  <c r="E35" i="10"/>
  <c r="E34" i="10"/>
  <c r="G28" i="10"/>
  <c r="F28" i="10"/>
  <c r="I24" i="10"/>
  <c r="I23" i="10"/>
  <c r="I22" i="10"/>
  <c r="D22" i="10" s="1"/>
  <c r="E22" i="10" s="1"/>
  <c r="H11" i="10"/>
  <c r="H10" i="10"/>
  <c r="H9" i="10"/>
  <c r="H8" i="10"/>
  <c r="H7" i="10"/>
  <c r="H6" i="10"/>
  <c r="H5" i="10"/>
  <c r="E11" i="10"/>
  <c r="E10" i="10"/>
  <c r="E9" i="10"/>
  <c r="E8" i="10"/>
  <c r="E7" i="10"/>
  <c r="E6" i="10"/>
  <c r="E5" i="10"/>
  <c r="L10" i="10"/>
  <c r="L9" i="10"/>
  <c r="L8" i="10"/>
  <c r="L7" i="10"/>
  <c r="L6" i="10"/>
  <c r="K15" i="10"/>
  <c r="I15" i="10"/>
  <c r="L11" i="10"/>
  <c r="L5" i="10"/>
  <c r="E40" i="10" l="1"/>
  <c r="E51" i="10"/>
  <c r="E15" i="10"/>
  <c r="H15" i="10"/>
  <c r="I28" i="10"/>
  <c r="J15" i="10"/>
  <c r="L15" i="10"/>
  <c r="D10" i="9" l="1"/>
  <c r="D38" i="9"/>
  <c r="D54" i="9"/>
  <c r="D57" i="9" s="1"/>
  <c r="C208" i="11"/>
  <c r="D95" i="9"/>
  <c r="F81" i="5"/>
  <c r="F96" i="5" s="1"/>
  <c r="F74" i="5"/>
  <c r="F73" i="5"/>
  <c r="F72" i="5"/>
  <c r="F71" i="5"/>
  <c r="F70" i="5"/>
  <c r="F69" i="5"/>
  <c r="F68" i="5"/>
  <c r="F58" i="5"/>
  <c r="F49" i="5"/>
  <c r="F48" i="5"/>
  <c r="F56" i="5"/>
  <c r="F55" i="5"/>
  <c r="F57" i="5"/>
  <c r="F54" i="5"/>
  <c r="F53" i="5"/>
  <c r="F52" i="5"/>
  <c r="F51" i="5"/>
  <c r="F50" i="5"/>
  <c r="G107" i="8"/>
  <c r="F42" i="5"/>
  <c r="F21" i="5"/>
  <c r="F77" i="5" l="1"/>
  <c r="F61" i="5"/>
  <c r="F63" i="5" s="1"/>
  <c r="F98" i="5" s="1"/>
  <c r="C199" i="11"/>
  <c r="D102" i="9" l="1"/>
  <c r="F106" i="5"/>
  <c r="C196" i="11"/>
  <c r="C186" i="11"/>
  <c r="J31" i="8"/>
  <c r="C165" i="8" l="1"/>
  <c r="C153" i="8"/>
  <c r="E109" i="9"/>
  <c r="C216" i="11"/>
  <c r="M64" i="5"/>
  <c r="J81" i="8"/>
  <c r="K81" i="8"/>
  <c r="C239" i="11" l="1"/>
  <c r="C249" i="11" s="1"/>
  <c r="C226" i="11"/>
  <c r="C129" i="8"/>
  <c r="C131" i="8" l="1"/>
  <c r="D146" i="11" s="1"/>
  <c r="D152" i="11" s="1"/>
  <c r="D154" i="11" s="1"/>
  <c r="D9" i="9"/>
  <c r="D12" i="9" s="1"/>
  <c r="F129" i="8"/>
  <c r="C134" i="8"/>
  <c r="C42" i="8"/>
  <c r="C54" i="8" s="1"/>
  <c r="C43" i="8"/>
  <c r="D59" i="9" l="1"/>
  <c r="I16" i="9"/>
  <c r="P31" i="8"/>
  <c r="C187" i="11" l="1"/>
  <c r="C205" i="11" s="1"/>
  <c r="D82" i="9"/>
  <c r="E112" i="8"/>
  <c r="G99" i="8"/>
  <c r="G98" i="8"/>
  <c r="G108" i="8"/>
  <c r="G106" i="8"/>
  <c r="G105" i="8"/>
  <c r="G104" i="8"/>
  <c r="G103" i="8"/>
  <c r="D101" i="8"/>
  <c r="D114" i="8" s="1"/>
  <c r="G97" i="8"/>
  <c r="G96" i="8"/>
  <c r="G95" i="8"/>
  <c r="G94" i="8"/>
  <c r="G93" i="8"/>
  <c r="G92" i="8"/>
  <c r="G91" i="8"/>
  <c r="F101" i="8"/>
  <c r="F114" i="8" s="1"/>
  <c r="E101" i="8"/>
  <c r="G90" i="8"/>
  <c r="C217" i="11" l="1"/>
  <c r="C240" i="11" s="1"/>
  <c r="D101" i="9"/>
  <c r="C190" i="11"/>
  <c r="E187" i="11" s="1"/>
  <c r="D83" i="9"/>
  <c r="M63" i="5"/>
  <c r="M66" i="5" s="1"/>
  <c r="E114" i="8"/>
  <c r="G112" i="8"/>
  <c r="G101" i="8"/>
  <c r="C231" i="11" l="1"/>
  <c r="C220" i="11"/>
  <c r="E216" i="11" s="1"/>
  <c r="E108" i="9"/>
  <c r="D104" i="9"/>
  <c r="E101" i="9" s="1"/>
  <c r="E186" i="11"/>
  <c r="C195" i="11" s="1"/>
  <c r="C198" i="11" s="1"/>
  <c r="C201" i="11" s="1"/>
  <c r="C152" i="8"/>
  <c r="C155" i="8" s="1"/>
  <c r="D152" i="8" s="1"/>
  <c r="C164" i="8"/>
  <c r="C254" i="11"/>
  <c r="C243" i="11"/>
  <c r="C204" i="11"/>
  <c r="C207" i="11" s="1"/>
  <c r="C210" i="11" s="1"/>
  <c r="G114" i="8"/>
  <c r="H31" i="8"/>
  <c r="J33" i="8" s="1"/>
  <c r="C53" i="8" s="1"/>
  <c r="E217" i="11" l="1"/>
  <c r="C230" i="11" s="1"/>
  <c r="C233" i="11" s="1"/>
  <c r="D109" i="9"/>
  <c r="F109" i="9" s="1"/>
  <c r="E102" i="9"/>
  <c r="D108" i="9"/>
  <c r="F108" i="9" s="1"/>
  <c r="E111" i="9"/>
  <c r="E190" i="11"/>
  <c r="C167" i="8"/>
  <c r="D164" i="8" s="1"/>
  <c r="D153" i="8"/>
  <c r="D155" i="8" s="1"/>
  <c r="C157" i="8"/>
  <c r="E240" i="11"/>
  <c r="C253" i="11" s="1"/>
  <c r="C256" i="11" s="1"/>
  <c r="E239" i="11"/>
  <c r="C225" i="11"/>
  <c r="C228" i="11" s="1"/>
  <c r="E228" i="11" s="1"/>
  <c r="D41" i="8"/>
  <c r="D44" i="8" s="1"/>
  <c r="E78" i="8"/>
  <c r="E77" i="8"/>
  <c r="E76" i="8"/>
  <c r="E75" i="8"/>
  <c r="D74" i="8"/>
  <c r="E74" i="8" s="1"/>
  <c r="C80" i="8"/>
  <c r="D79" i="8"/>
  <c r="E79" i="8" s="1"/>
  <c r="E81" i="8"/>
  <c r="I43" i="8"/>
  <c r="C69" i="8" s="1"/>
  <c r="I42" i="8"/>
  <c r="E43" i="8"/>
  <c r="E42" i="8"/>
  <c r="H41" i="8"/>
  <c r="H44" i="8" s="1"/>
  <c r="E31" i="8"/>
  <c r="D31" i="8"/>
  <c r="C41" i="8" s="1"/>
  <c r="C44" i="8" s="1"/>
  <c r="G9" i="4"/>
  <c r="G4" i="4"/>
  <c r="F14" i="4"/>
  <c r="G14" i="4" s="1"/>
  <c r="C14" i="4"/>
  <c r="C11" i="4"/>
  <c r="H11" i="4"/>
  <c r="C15" i="4"/>
  <c r="F10" i="4"/>
  <c r="G10" i="4" s="1"/>
  <c r="H6" i="4"/>
  <c r="F5" i="4"/>
  <c r="G5" i="4" s="1"/>
  <c r="C6" i="4"/>
  <c r="Q31" i="1"/>
  <c r="R31" i="1" s="1"/>
  <c r="Q29" i="1"/>
  <c r="Q27" i="1"/>
  <c r="R27" i="1" s="1"/>
  <c r="Q25" i="1"/>
  <c r="Q24" i="1"/>
  <c r="Q22" i="1"/>
  <c r="G29" i="1"/>
  <c r="G27" i="1"/>
  <c r="G24" i="1"/>
  <c r="G22" i="1"/>
  <c r="D8" i="2"/>
  <c r="D2" i="2"/>
  <c r="D4" i="2" s="1"/>
  <c r="B1" i="2"/>
  <c r="Q11" i="1"/>
  <c r="Q15" i="1" s="1"/>
  <c r="Q13" i="1"/>
  <c r="D15" i="1"/>
  <c r="Q5" i="1"/>
  <c r="Q3" i="1"/>
  <c r="P7" i="1"/>
  <c r="P17" i="1" s="1"/>
  <c r="O7" i="1"/>
  <c r="O17" i="1" s="1"/>
  <c r="N7" i="1"/>
  <c r="N17" i="1" s="1"/>
  <c r="M7" i="1"/>
  <c r="M17" i="1" s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E17" i="1" s="1"/>
  <c r="D7" i="1"/>
  <c r="F13" i="1"/>
  <c r="F11" i="1"/>
  <c r="F15" i="1" s="1"/>
  <c r="F5" i="1"/>
  <c r="F3" i="1"/>
  <c r="E220" i="11" l="1"/>
  <c r="D111" i="9"/>
  <c r="E164" i="8"/>
  <c r="C169" i="8"/>
  <c r="C172" i="8"/>
  <c r="D165" i="8"/>
  <c r="E165" i="8" s="1"/>
  <c r="F165" i="8" s="1"/>
  <c r="G25" i="1"/>
  <c r="D17" i="1"/>
  <c r="R22" i="1"/>
  <c r="R24" i="1"/>
  <c r="C248" i="11"/>
  <c r="C251" i="11" s="1"/>
  <c r="E243" i="11"/>
  <c r="G41" i="8"/>
  <c r="E33" i="8"/>
  <c r="D80" i="8"/>
  <c r="E80" i="8" s="1"/>
  <c r="E41" i="8"/>
  <c r="E44" i="8" s="1"/>
  <c r="F11" i="4"/>
  <c r="G11" i="4" s="1"/>
  <c r="F6" i="4"/>
  <c r="F15" i="4"/>
  <c r="G15" i="4" s="1"/>
  <c r="C16" i="4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J170" i="8" l="1"/>
  <c r="F164" i="8"/>
  <c r="E173" i="8"/>
  <c r="C173" i="8"/>
  <c r="D167" i="8"/>
  <c r="J35" i="8"/>
  <c r="C52" i="8"/>
  <c r="C56" i="8" s="1"/>
  <c r="C58" i="8" s="1"/>
  <c r="I41" i="8"/>
  <c r="I44" i="8" s="1"/>
  <c r="G44" i="8"/>
  <c r="C84" i="8"/>
  <c r="F16" i="4"/>
  <c r="G16" i="4" s="1"/>
  <c r="G6" i="4"/>
  <c r="R15" i="1"/>
  <c r="R7" i="1"/>
  <c r="I46" i="8" l="1"/>
  <c r="C85" i="8"/>
  <c r="R17" i="1"/>
  <c r="E59" i="11"/>
  <c r="E79" i="11" s="1"/>
</calcChain>
</file>

<file path=xl/sharedStrings.xml><?xml version="1.0" encoding="utf-8"?>
<sst xmlns="http://schemas.openxmlformats.org/spreadsheetml/2006/main" count="1051" uniqueCount="310">
  <si>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</si>
  <si>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</si>
  <si>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</si>
  <si>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</si>
  <si>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</si>
  <si>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</si>
  <si>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</si>
  <si>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</si>
  <si>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</si>
  <si>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</si>
  <si>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</si>
  <si>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</si>
  <si>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</si>
  <si>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</si>
  <si>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</si>
  <si>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</si>
  <si>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</si>
  <si>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</si>
  <si>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Total paid</t>
  </si>
  <si>
    <t>Part A+B</t>
  </si>
  <si>
    <t>Payment Details</t>
  </si>
  <si>
    <t>Total Value</t>
  </si>
  <si>
    <t>Kavita Kumari</t>
  </si>
  <si>
    <t>TDS</t>
  </si>
  <si>
    <t>Other Exp</t>
  </si>
  <si>
    <t>Staff &amp; Labour</t>
  </si>
  <si>
    <t>Advocate &amp; Legal Exp</t>
  </si>
  <si>
    <t>Murat ka Exp</t>
  </si>
  <si>
    <t>DLB</t>
  </si>
  <si>
    <t>Stamp Duty</t>
  </si>
  <si>
    <t>Total Paid</t>
  </si>
  <si>
    <t>Total Value of Project</t>
  </si>
  <si>
    <t>Cleaning Exp for 201 Bega</t>
  </si>
  <si>
    <t>Other Expenses breakup paid By BR</t>
  </si>
  <si>
    <t>JK 201
(Transaction details)</t>
  </si>
  <si>
    <t>Total Payment
 till Date</t>
  </si>
  <si>
    <t>Land</t>
  </si>
  <si>
    <t>Party Name</t>
  </si>
  <si>
    <t>Paid By</t>
  </si>
  <si>
    <t>Amount</t>
  </si>
  <si>
    <t>Particulars</t>
  </si>
  <si>
    <t>Adv 3 BIGA</t>
  </si>
  <si>
    <t>Adv 4 BIGA</t>
  </si>
  <si>
    <t>To be Paid against 3 BIGA</t>
  </si>
  <si>
    <t>Payment Paid By RL</t>
  </si>
  <si>
    <t>Payment Paid By BR</t>
  </si>
  <si>
    <t>RL &amp;BR</t>
  </si>
  <si>
    <t>13-03-2025</t>
  </si>
  <si>
    <t>26-03-2025</t>
  </si>
  <si>
    <t>29-03-2025</t>
  </si>
  <si>
    <t xml:space="preserve">Other Plots Paid by BR upto 27.10.24
(Payment Summary) </t>
  </si>
  <si>
    <t>PART A upto 31.03.25</t>
  </si>
  <si>
    <t>Total Part - A (RL &amp; BR)</t>
  </si>
  <si>
    <t>Total Part - B (RL &amp; BR)</t>
  </si>
  <si>
    <t>Other Plot &amp; Land (Payment Break-up)</t>
  </si>
  <si>
    <t>Part-A</t>
  </si>
  <si>
    <t>Part-B</t>
  </si>
  <si>
    <t>Cleaning Expenses</t>
  </si>
  <si>
    <t>Staff &amp; Labour Expenses</t>
  </si>
  <si>
    <t>Advocate &amp; Legal Expenses</t>
  </si>
  <si>
    <t>Muhrat Expenses</t>
  </si>
  <si>
    <t>Advance for 4 Bigha Land</t>
  </si>
  <si>
    <t>Gross Total</t>
  </si>
  <si>
    <r>
      <t xml:space="preserve">Advance for 3 Bigha Land </t>
    </r>
    <r>
      <rPr>
        <b/>
        <sz val="14"/>
        <color rgb="FFFF0000"/>
        <rFont val="Calibri"/>
        <family val="2"/>
        <scheme val="minor"/>
      </rPr>
      <t>(80 Lacs to be Paid)</t>
    </r>
  </si>
  <si>
    <t>13.02.25</t>
  </si>
  <si>
    <t>17.02.25</t>
  </si>
  <si>
    <t>20.02.25</t>
  </si>
  <si>
    <t>13.03.25</t>
  </si>
  <si>
    <t>26.03.25</t>
  </si>
  <si>
    <t>29.03.25</t>
  </si>
  <si>
    <t>04.04.25</t>
  </si>
  <si>
    <t>08.05.25</t>
  </si>
  <si>
    <t>09.05.25</t>
  </si>
  <si>
    <t>13.05.25</t>
  </si>
  <si>
    <t>14.05.25</t>
  </si>
  <si>
    <t>Gross Total  - RL &amp; BR</t>
  </si>
  <si>
    <t>Date</t>
  </si>
  <si>
    <t>17.10.2024</t>
  </si>
  <si>
    <t>Ganesham E Mitra &amp; Online Services</t>
  </si>
  <si>
    <t>21.10.2024</t>
  </si>
  <si>
    <t>23.05.2025</t>
  </si>
  <si>
    <t>Gross Total (A+B)&amp;(RL + BR)</t>
  </si>
  <si>
    <t>PART B upto 28.05.25</t>
  </si>
  <si>
    <t>Paid to JK</t>
  </si>
  <si>
    <t>Paid for TDS</t>
  </si>
  <si>
    <t>Total Part - A</t>
  </si>
  <si>
    <t>Total Part - B</t>
  </si>
  <si>
    <t>Total TDS</t>
  </si>
  <si>
    <t>Total Payments</t>
  </si>
  <si>
    <t>Balance Payble - JK</t>
  </si>
  <si>
    <t>Total Stamp Duty Paid</t>
  </si>
  <si>
    <t>Advocate &amp; Legal Exp - Part-II</t>
  </si>
  <si>
    <t>BY NG</t>
  </si>
  <si>
    <t>Plot-1 (Rakesh Jat)</t>
  </si>
  <si>
    <t>Plot-2 (Ajeet Singh)</t>
  </si>
  <si>
    <t>Sq. Yards</t>
  </si>
  <si>
    <t>Plot-3 (Hanif)</t>
  </si>
  <si>
    <t>Plot-4 (Ajeet Singh)</t>
  </si>
  <si>
    <t>Plot-5 (Prem Singh)</t>
  </si>
  <si>
    <t>Plot-6 (Babu Lal Saini)</t>
  </si>
  <si>
    <t>Plot-7 (Prahlad Yadav)</t>
  </si>
  <si>
    <t>28.05.25</t>
  </si>
  <si>
    <t xml:space="preserve"> </t>
  </si>
  <si>
    <t xml:space="preserve">Balance Payble to JK </t>
  </si>
  <si>
    <t>Mode</t>
  </si>
  <si>
    <t>Bank</t>
  </si>
  <si>
    <t>Narration</t>
  </si>
  <si>
    <t>C</t>
  </si>
  <si>
    <t>For JK</t>
  </si>
  <si>
    <t>Other Land</t>
  </si>
  <si>
    <t>Advocate &amp; Legal Expenses - Part-2</t>
  </si>
  <si>
    <t>Land &amp; Other Payments by BR</t>
  </si>
  <si>
    <t>Total Land &amp; Other Payments</t>
  </si>
  <si>
    <t>Borewell Expenses</t>
  </si>
  <si>
    <t>Caddmaxx</t>
  </si>
  <si>
    <t>Paid for Stamp Duty</t>
  </si>
  <si>
    <t>Other Land Purchase by BR</t>
  </si>
  <si>
    <t>Other Expenses by BR</t>
  </si>
  <si>
    <t>Vinod Kumar Sharma</t>
  </si>
  <si>
    <t>Kamla Devi</t>
  </si>
  <si>
    <t>Mahesh Kumar</t>
  </si>
  <si>
    <t>Ratan Sharma</t>
  </si>
  <si>
    <t>Mahavir Prasad</t>
  </si>
  <si>
    <t>Kalu Ram</t>
  </si>
  <si>
    <t>Lakhan Sharma</t>
  </si>
  <si>
    <t>Santosh Kumar Sharma</t>
  </si>
  <si>
    <t>Gyarasi Lal</t>
  </si>
  <si>
    <t>Studio HA</t>
  </si>
  <si>
    <t>Other Expenses by Nirjhar (RL)</t>
  </si>
  <si>
    <t>Other Land Purchase by Nirjhar (RL)</t>
  </si>
  <si>
    <t>Total Land &amp; Other Payments by RL</t>
  </si>
  <si>
    <t>22.10.2024</t>
  </si>
  <si>
    <t xml:space="preserve">Bansidhar Jakhar </t>
  </si>
  <si>
    <t>Bansidhar Jakhar</t>
  </si>
  <si>
    <t>06.11.2024</t>
  </si>
  <si>
    <t xml:space="preserve">Vikram Singh Jat </t>
  </si>
  <si>
    <t>07.11.2024</t>
  </si>
  <si>
    <t>Krishna Jat</t>
  </si>
  <si>
    <t>15.01.2025</t>
  </si>
  <si>
    <t xml:space="preserve">Kavita Kumari </t>
  </si>
  <si>
    <t>Total Receipts</t>
  </si>
  <si>
    <t>Other Receipts by BR</t>
  </si>
  <si>
    <t>Received From</t>
  </si>
  <si>
    <t>Bhanaram Saini</t>
  </si>
  <si>
    <t>Total for Other Lands</t>
  </si>
  <si>
    <t>Total JK &amp; Other Land Payments</t>
  </si>
  <si>
    <t>Less : Received from BR</t>
  </si>
  <si>
    <t>Net Paid by Nirjhar (RL)</t>
  </si>
  <si>
    <t>22.01.2025</t>
  </si>
  <si>
    <t>Rate</t>
  </si>
  <si>
    <t>Land Amount</t>
  </si>
  <si>
    <t>Construction Area</t>
  </si>
  <si>
    <t>Construction amount</t>
  </si>
  <si>
    <t>Payment    Part-A</t>
  </si>
  <si>
    <t>Payment      Part-B</t>
  </si>
  <si>
    <t>Other Land Purchase Details by BR</t>
  </si>
  <si>
    <t>Other Plots Purchase Details by BR</t>
  </si>
  <si>
    <t>Area (Bigha)</t>
  </si>
  <si>
    <t>Cleaning Expenses Details</t>
  </si>
  <si>
    <t>Diesel in Tractor</t>
  </si>
  <si>
    <t>Qty</t>
  </si>
  <si>
    <t>Tractor Rent</t>
  </si>
  <si>
    <t>JCB Rent</t>
  </si>
  <si>
    <t>GSB for Plots</t>
  </si>
  <si>
    <t>From 27.04.24 to 08.07.24</t>
  </si>
  <si>
    <t>From 26.04.24 to 25.07.24 @ 30000/- Per Month</t>
  </si>
  <si>
    <t>From 26.04.24 to 25.07.24 @ 80000/- Per Month</t>
  </si>
  <si>
    <t>Moharram Trolly at Plots - 90 Trolly @ 700/- Per Trolly</t>
  </si>
  <si>
    <t>Staff Salary &amp; Wages Details</t>
  </si>
  <si>
    <t>Staff Salary for the Month of July-24 (150 Days @ 500)</t>
  </si>
  <si>
    <t>Staff Salary for the Month of June-24 (169 Days @ 500)</t>
  </si>
  <si>
    <t>Staff Salary for the Month of May-24 (255 Days @ 500)</t>
  </si>
  <si>
    <t>KVT 10 Files + 2 DAVA</t>
  </si>
  <si>
    <t>Stamps</t>
  </si>
  <si>
    <t>Advance Paid to Advocate Bhanu Pratap Singh on 07.07.24</t>
  </si>
  <si>
    <t>Police Case</t>
  </si>
  <si>
    <t>Patwari</t>
  </si>
  <si>
    <t>Girdawar</t>
  </si>
  <si>
    <t>Tehsildar</t>
  </si>
  <si>
    <t>SDM</t>
  </si>
  <si>
    <t>EO - NP</t>
  </si>
  <si>
    <r>
      <t xml:space="preserve">Case No. 115 &amp; 116 - </t>
    </r>
    <r>
      <rPr>
        <b/>
        <sz val="11"/>
        <color theme="1"/>
        <rFont val="Calibri"/>
        <family val="2"/>
        <scheme val="minor"/>
      </rPr>
      <t>15 Lacs</t>
    </r>
  </si>
  <si>
    <r>
      <t xml:space="preserve">Case No. 115 &amp; 116 - </t>
    </r>
    <r>
      <rPr>
        <b/>
        <sz val="11"/>
        <color theme="1"/>
        <rFont val="Calibri"/>
        <family val="2"/>
        <scheme val="minor"/>
      </rPr>
      <t>5 Lacs</t>
    </r>
  </si>
  <si>
    <t>Muhurat Expenses Details</t>
  </si>
  <si>
    <t>Legal &amp; Advocate Expenses Details</t>
  </si>
  <si>
    <t>Tent Expenses</t>
  </si>
  <si>
    <t>Sweets (Halwai)</t>
  </si>
  <si>
    <t xml:space="preserve">Cash </t>
  </si>
  <si>
    <t>JK</t>
  </si>
  <si>
    <t>15 Bigha</t>
  </si>
  <si>
    <t>Land - 8 Bigha</t>
  </si>
  <si>
    <t>Land - 4 Bigha</t>
  </si>
  <si>
    <t>Land - 1 Bigha</t>
  </si>
  <si>
    <r>
      <t xml:space="preserve">Advance for 3 Bigha(.29 Hactr) Land </t>
    </r>
    <r>
      <rPr>
        <b/>
        <sz val="12"/>
        <color rgb="FFFF0000"/>
        <rFont val="Calibri"/>
        <family val="2"/>
        <scheme val="minor"/>
      </rPr>
      <t xml:space="preserve">(45 Lacs to be Paid) </t>
    </r>
    <r>
      <rPr>
        <b/>
        <sz val="12"/>
        <color rgb="FF00B050"/>
        <rFont val="Calibri"/>
        <family val="2"/>
        <scheme val="minor"/>
      </rPr>
      <t>(1 Bigha Possesion Pending)</t>
    </r>
  </si>
  <si>
    <t>JK TDS</t>
  </si>
  <si>
    <t>Other Plots</t>
  </si>
  <si>
    <t>Less - Received by BR</t>
  </si>
  <si>
    <t>Stamp Duty Challan Pending</t>
  </si>
  <si>
    <t>Land Registry Details Pending</t>
  </si>
  <si>
    <t>Stamp Duty for Part-B</t>
  </si>
  <si>
    <r>
      <t xml:space="preserve">Advance for 3 Bigha(.29 Hactr) </t>
    </r>
    <r>
      <rPr>
        <b/>
        <sz val="12"/>
        <color rgb="FFFF0000"/>
        <rFont val="Calibri"/>
        <family val="2"/>
        <scheme val="minor"/>
      </rPr>
      <t xml:space="preserve">(45 Lacs to be Paid) </t>
    </r>
    <r>
      <rPr>
        <b/>
        <sz val="12"/>
        <color rgb="FF00B050"/>
        <rFont val="Calibri"/>
        <family val="2"/>
        <scheme val="minor"/>
      </rPr>
      <t>(1 Bigha Possesion Pending)</t>
    </r>
  </si>
  <si>
    <t>Vidai - Sant</t>
  </si>
  <si>
    <t>Vehicle Hire Charges - Sant</t>
  </si>
  <si>
    <t>Stamp Duty for JK - Part B (Registrar)</t>
  </si>
  <si>
    <t>Legal &amp; Advocate Expenses Details - Part - II</t>
  </si>
  <si>
    <t>Status</t>
  </si>
  <si>
    <t>JK v/s Amtul (Other Advocate Fees)</t>
  </si>
  <si>
    <t>Disposed</t>
  </si>
  <si>
    <t>Fateh Singh Advocate</t>
  </si>
  <si>
    <t>JK v/s Bhura Ram (Other Advocate Fees)</t>
  </si>
  <si>
    <t>Stamp Duty for JK - Part A</t>
  </si>
  <si>
    <t>Other</t>
  </si>
  <si>
    <t>Other Expenses Narration Pending</t>
  </si>
  <si>
    <t>JK - Registry Charges</t>
  </si>
  <si>
    <t>TDS - JK</t>
  </si>
  <si>
    <t>MAGs - SDM</t>
  </si>
  <si>
    <t>Total Paid by RL (Land &amp; Registry Charges)</t>
  </si>
  <si>
    <t>Total Paid by BR (Land &amp; Registry Charges)</t>
  </si>
  <si>
    <t>Share</t>
  </si>
  <si>
    <t>Share Amount</t>
  </si>
  <si>
    <t>Paid Amount</t>
  </si>
  <si>
    <t>Total Investment Amount</t>
  </si>
  <si>
    <t>Total Land Payments by RL</t>
  </si>
  <si>
    <t>Studio HA on 05.09.25</t>
  </si>
  <si>
    <t>BR Share Amount</t>
  </si>
  <si>
    <t>Paid by BR</t>
  </si>
  <si>
    <t>Extra Paid by BR</t>
  </si>
  <si>
    <t>RL Share Amount</t>
  </si>
  <si>
    <t>Paid by RL</t>
  </si>
  <si>
    <t>Share Calculation as per Total Land &amp; Registry Charges</t>
  </si>
  <si>
    <t>Payments As Per JK &amp; Other Land &amp; Registry Charges</t>
  </si>
  <si>
    <t>Share Calculation as per Total Payments</t>
  </si>
  <si>
    <t xml:space="preserve">Total Paid by BR </t>
  </si>
  <si>
    <t>Total Paid by RL</t>
  </si>
  <si>
    <t>Less Paid by RL</t>
  </si>
  <si>
    <t>Extra Paid by BR in Land A/c</t>
  </si>
  <si>
    <t>Addition Other Expenses Paid by BR</t>
  </si>
  <si>
    <t>Total Extra Paid in Land &amp; Other Expenses</t>
  </si>
  <si>
    <t>Addition Other Expenses Paid by RL</t>
  </si>
  <si>
    <t>Total Less Paid in Land &amp; Other Expenses</t>
  </si>
  <si>
    <t>Total Paid by BR in Land A/c</t>
  </si>
  <si>
    <t>Total Paid by RL in Land A/c</t>
  </si>
  <si>
    <t>Working</t>
  </si>
  <si>
    <t>Total Paid by RL (Inclusive to be Paid - 1.388 +.75)</t>
  </si>
  <si>
    <t>DLB - Neem ka Thana</t>
  </si>
  <si>
    <t>Cash</t>
  </si>
  <si>
    <t>Design Work</t>
  </si>
  <si>
    <t>DLB - 18-07-2025</t>
  </si>
  <si>
    <t>DLB Payment Details</t>
  </si>
  <si>
    <t>DLB - Neem ka Tana - 04.08.2025</t>
  </si>
  <si>
    <t>DLB - Neem ka Tana - 15.07.2025</t>
  </si>
  <si>
    <t>Land Conversion Challan - 29.10.2025</t>
  </si>
  <si>
    <t>Sr. Draftman for File Prepare &amp; Misc. Exp. - 25.10.2025</t>
  </si>
  <si>
    <t>for File Preparation &amp; Other Misc. Expenses</t>
  </si>
  <si>
    <t>Sr. Draftman for File &amp; Misc. Exp. - 25.10.25</t>
  </si>
  <si>
    <t>Gross Payment</t>
  </si>
  <si>
    <t>30/10/2025</t>
  </si>
  <si>
    <t>24-11-2025</t>
  </si>
  <si>
    <t>Pandit Buildcone Pvt. Ltd.</t>
  </si>
  <si>
    <t>Architect</t>
  </si>
  <si>
    <t>TPT Consultancy</t>
  </si>
  <si>
    <t>Planning Work</t>
  </si>
  <si>
    <t>Prime tech Design Consultancy</t>
  </si>
  <si>
    <t>Structure Design</t>
  </si>
  <si>
    <t>ARC Studio</t>
  </si>
  <si>
    <t>Arc Studio - 25.10.25</t>
  </si>
  <si>
    <t>News Paper Ad</t>
  </si>
  <si>
    <t>Land Conversion Charges</t>
  </si>
  <si>
    <t>Other Expenses (DLB)</t>
  </si>
  <si>
    <t>Other Expenses for Land Development</t>
  </si>
  <si>
    <t>Rate per Bigha</t>
  </si>
  <si>
    <t>Total Land (Bigha)</t>
  </si>
  <si>
    <t>1st EMI</t>
  </si>
  <si>
    <t>17-10-2024</t>
  </si>
  <si>
    <t>23-05-2025</t>
  </si>
  <si>
    <t>From</t>
  </si>
  <si>
    <t>To</t>
  </si>
  <si>
    <t>Days</t>
  </si>
  <si>
    <t>Cumm. Amt.</t>
  </si>
  <si>
    <t>30/05/2026</t>
  </si>
  <si>
    <t>20/08/2026</t>
  </si>
  <si>
    <t>EMI</t>
  </si>
  <si>
    <t>1st</t>
  </si>
  <si>
    <t>2nd</t>
  </si>
  <si>
    <t>3rd</t>
  </si>
  <si>
    <t>4th</t>
  </si>
  <si>
    <t>Ratio</t>
  </si>
  <si>
    <t>Brandharbor Visualization LLP</t>
  </si>
  <si>
    <t>Shreshtha</t>
  </si>
  <si>
    <t>19/07/2025</t>
  </si>
  <si>
    <t>As per Paid Amount</t>
  </si>
  <si>
    <t>As per Total Amount (Paid &amp; to be Paid -1.5 Cr)</t>
  </si>
  <si>
    <t>PARTY</t>
  </si>
  <si>
    <t>Actual Paid</t>
  </si>
  <si>
    <t>As per Ration</t>
  </si>
  <si>
    <t>DDR</t>
  </si>
  <si>
    <t>CTP</t>
  </si>
  <si>
    <t>Nagarpalika</t>
  </si>
  <si>
    <t>Satpal (Amount Return)</t>
  </si>
  <si>
    <t>Extra/Less Paid</t>
  </si>
  <si>
    <t>Boundry Wall</t>
  </si>
  <si>
    <t>Layout Plan</t>
  </si>
  <si>
    <t>Consultant</t>
  </si>
  <si>
    <t>New</t>
  </si>
  <si>
    <t>Stone Supplier</t>
  </si>
  <si>
    <t>Part - A</t>
  </si>
  <si>
    <t>Part - B</t>
  </si>
  <si>
    <t>Empowered Committee - ADM</t>
  </si>
  <si>
    <t>STP - Area Access</t>
  </si>
  <si>
    <t>Khasra Separation -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</si>
</sst>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\-mm\-yyyy;@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4"/>
      <color theme="7" tint="-0.249977111117893"/>
      <name val="Calibri"/>
      <family val="2"/>
      <scheme val="minor"/>
    </font>
    <font>
      <sz val="12"/>
      <name val="Cambria"/>
      <family val="1"/>
    </font>
    <font>
      <b/>
      <sz val="14"/>
      <name val="Cambria"/>
      <family val="1"/>
    </font>
    <font>
      <b/>
      <sz val="14"/>
      <name val="Calibri"/>
      <family val="2"/>
      <scheme val="minor"/>
    </font>
    <font>
      <b/>
      <sz val="12"/>
      <name val="Cambria"/>
      <family val="1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theme="1"/>
      <name val="Cambria"/>
      <family val="1"/>
    </font>
    <font>
      <b/>
      <sz val="12"/>
      <color rgb="FF00B050"/>
      <name val="Calibri"/>
      <family val="2"/>
      <scheme val="minor"/>
    </font>
    <font>
      <b/>
      <sz val="12"/>
      <color rgb="FFFF0000"/>
      <name val="Cambria"/>
      <family val="1"/>
    </font>
    <font>
      <sz val="12"/>
      <color rgb="FF000000"/>
      <name val="Cambria"/>
      <family val="1"/>
    </font>
    <font>
      <b/>
      <sz val="11"/>
      <color rgb="FFFF0000"/>
      <name val="Cambria"/>
      <family val="1"/>
      <scheme val="major"/>
    </font>
    <font>
      <b/>
      <sz val="18"/>
      <color rgb="FF00B050"/>
      <name val="Calibri"/>
      <family val="2"/>
      <scheme val="minor"/>
    </font>
    <font>
      <b/>
      <sz val="13"/>
      <name val="Cambria"/>
      <family val="1"/>
    </font>
    <font>
      <b/>
      <sz val="12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0" fillId="0" borderId="0" xfId="1" applyFont="1" applyAlignment="1">
      <alignment horizontal="center"/>
    </xf>
    <xf numFmtId="0" fontId="0" fillId="0" borderId="1" xfId="0" applyBorder="1"/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35" xfId="0" applyFont="1" applyBorder="1"/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20" xfId="1" applyNumberFormat="1" applyFont="1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0" fontId="6" fillId="0" borderId="24" xfId="0" applyFont="1" applyBorder="1"/>
    <xf numFmtId="164" fontId="0" fillId="0" borderId="1" xfId="1" applyNumberFormat="1" applyFont="1" applyBorder="1"/>
    <xf numFmtId="164" fontId="0" fillId="0" borderId="0" xfId="0" applyNumberFormat="1"/>
    <xf numFmtId="164" fontId="0" fillId="0" borderId="20" xfId="1" applyNumberFormat="1" applyFont="1" applyBorder="1"/>
    <xf numFmtId="164" fontId="1" fillId="4" borderId="37" xfId="1" applyNumberFormat="1" applyFont="1" applyFill="1" applyBorder="1"/>
    <xf numFmtId="164" fontId="0" fillId="0" borderId="32" xfId="1" applyNumberFormat="1" applyFont="1" applyBorder="1"/>
    <xf numFmtId="164" fontId="5" fillId="0" borderId="0" xfId="0" applyNumberFormat="1" applyFont="1"/>
    <xf numFmtId="164" fontId="0" fillId="0" borderId="27" xfId="1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1" fillId="0" borderId="43" xfId="0" applyNumberFormat="1" applyFont="1" applyBorder="1" applyAlignment="1">
      <alignment horizontal="center" vertical="center"/>
    </xf>
    <xf numFmtId="164" fontId="1" fillId="0" borderId="43" xfId="1" applyNumberFormat="1" applyFont="1" applyFill="1" applyBorder="1" applyAlignment="1">
      <alignment horizontal="center" vertical="center"/>
    </xf>
    <xf numFmtId="164" fontId="1" fillId="0" borderId="34" xfId="1" applyNumberFormat="1" applyFont="1" applyFill="1" applyBorder="1" applyAlignment="1">
      <alignment horizontal="center" vertical="center"/>
    </xf>
    <xf numFmtId="43" fontId="12" fillId="0" borderId="0" xfId="1" applyFont="1"/>
    <xf numFmtId="164" fontId="12" fillId="0" borderId="0" xfId="0" applyNumberFormat="1" applyFont="1"/>
    <xf numFmtId="0" fontId="12" fillId="0" borderId="0" xfId="0" applyFont="1"/>
    <xf numFmtId="0" fontId="11" fillId="0" borderId="0" xfId="0" applyFont="1"/>
    <xf numFmtId="164" fontId="13" fillId="6" borderId="36" xfId="1" applyNumberFormat="1" applyFont="1" applyFill="1" applyBorder="1" applyAlignment="1">
      <alignment horizontal="center" vertical="center"/>
    </xf>
    <xf numFmtId="164" fontId="13" fillId="6" borderId="37" xfId="1" applyNumberFormat="1" applyFont="1" applyFill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 vertical="center"/>
    </xf>
    <xf numFmtId="164" fontId="11" fillId="7" borderId="43" xfId="1" applyNumberFormat="1" applyFont="1" applyFill="1" applyBorder="1" applyAlignment="1">
      <alignment horizontal="center" vertical="center"/>
    </xf>
    <xf numFmtId="164" fontId="11" fillId="8" borderId="34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8" xfId="0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164" fontId="1" fillId="0" borderId="35" xfId="1" applyNumberFormat="1" applyFont="1" applyBorder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1" fillId="4" borderId="1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6" fillId="0" borderId="40" xfId="0" applyFont="1" applyBorder="1"/>
    <xf numFmtId="0" fontId="6" fillId="0" borderId="47" xfId="0" applyFont="1" applyBorder="1"/>
    <xf numFmtId="165" fontId="1" fillId="0" borderId="24" xfId="0" applyNumberFormat="1" applyFont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11" xfId="0" applyFont="1" applyBorder="1"/>
    <xf numFmtId="0" fontId="0" fillId="0" borderId="12" xfId="0" applyBorder="1"/>
    <xf numFmtId="0" fontId="5" fillId="0" borderId="14" xfId="0" applyFont="1" applyBorder="1"/>
    <xf numFmtId="0" fontId="5" fillId="0" borderId="16" xfId="0" applyFont="1" applyBorder="1"/>
    <xf numFmtId="0" fontId="0" fillId="0" borderId="17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4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36" xfId="0" applyFont="1" applyBorder="1"/>
    <xf numFmtId="0" fontId="5" fillId="0" borderId="33" xfId="0" applyFont="1" applyBorder="1"/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43" fontId="16" fillId="0" borderId="17" xfId="1" applyFont="1" applyBorder="1" applyAlignment="1">
      <alignment horizontal="center" vertical="center"/>
    </xf>
    <xf numFmtId="43" fontId="14" fillId="4" borderId="18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19" xfId="0" applyBorder="1"/>
    <xf numFmtId="0" fontId="11" fillId="0" borderId="35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5" fillId="0" borderId="20" xfId="0" applyFont="1" applyBorder="1"/>
    <xf numFmtId="0" fontId="1" fillId="0" borderId="35" xfId="0" applyFont="1" applyBorder="1"/>
    <xf numFmtId="0" fontId="13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9" xfId="0" applyFont="1" applyBorder="1"/>
    <xf numFmtId="164" fontId="0" fillId="0" borderId="21" xfId="0" applyNumberFormat="1" applyBorder="1" applyAlignment="1">
      <alignment horizontal="center"/>
    </xf>
    <xf numFmtId="164" fontId="6" fillId="9" borderId="48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164" fontId="1" fillId="4" borderId="45" xfId="1" applyNumberFormat="1" applyFont="1" applyFill="1" applyBorder="1" applyAlignment="1">
      <alignment horizontal="center" vertical="center"/>
    </xf>
    <xf numFmtId="164" fontId="1" fillId="4" borderId="48" xfId="1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/>
    </xf>
    <xf numFmtId="164" fontId="8" fillId="0" borderId="2" xfId="1" applyNumberFormat="1" applyFont="1" applyBorder="1" applyAlignment="1">
      <alignment horizontal="center" vertical="center"/>
    </xf>
    <xf numFmtId="164" fontId="11" fillId="7" borderId="57" xfId="1" applyNumberFormat="1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64" fontId="6" fillId="9" borderId="4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6" fillId="0" borderId="41" xfId="0" applyFont="1" applyBorder="1"/>
    <xf numFmtId="164" fontId="0" fillId="0" borderId="24" xfId="1" applyNumberFormat="1" applyFont="1" applyBorder="1"/>
    <xf numFmtId="164" fontId="0" fillId="0" borderId="32" xfId="1" applyNumberFormat="1" applyFont="1" applyBorder="1" applyAlignment="1">
      <alignment horizontal="center"/>
    </xf>
    <xf numFmtId="164" fontId="0" fillId="0" borderId="27" xfId="1" applyNumberFormat="1" applyFont="1" applyBorder="1"/>
    <xf numFmtId="0" fontId="5" fillId="4" borderId="8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5" fillId="0" borderId="54" xfId="0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1" fillId="10" borderId="35" xfId="1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2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43" fontId="1" fillId="0" borderId="3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0" xfId="1" applyFont="1" applyBorder="1" applyAlignment="1">
      <alignment horizontal="center"/>
    </xf>
    <xf numFmtId="0" fontId="0" fillId="0" borderId="20" xfId="0" applyBorder="1"/>
    <xf numFmtId="0" fontId="1" fillId="0" borderId="32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5" fillId="0" borderId="19" xfId="0" applyFont="1" applyBorder="1"/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43" fontId="0" fillId="0" borderId="32" xfId="1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0" borderId="1" xfId="0" applyFont="1" applyBorder="1"/>
    <xf numFmtId="49" fontId="19" fillId="0" borderId="1" xfId="0" applyNumberFormat="1" applyFont="1" applyBorder="1" applyAlignment="1">
      <alignment horizontal="left" vertical="center" wrapText="1"/>
    </xf>
    <xf numFmtId="43" fontId="15" fillId="6" borderId="36" xfId="1" applyFont="1" applyFill="1" applyBorder="1" applyAlignment="1">
      <alignment horizontal="center"/>
    </xf>
    <xf numFmtId="0" fontId="24" fillId="0" borderId="0" xfId="0" applyFont="1"/>
    <xf numFmtId="0" fontId="24" fillId="0" borderId="24" xfId="0" applyFont="1" applyBorder="1"/>
    <xf numFmtId="0" fontId="24" fillId="0" borderId="32" xfId="0" applyFont="1" applyBorder="1" applyAlignment="1">
      <alignment horizontal="center"/>
    </xf>
    <xf numFmtId="165" fontId="25" fillId="0" borderId="14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9" xfId="0" applyFont="1" applyBorder="1"/>
    <xf numFmtId="0" fontId="24" fillId="0" borderId="2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0" fontId="25" fillId="0" borderId="0" xfId="0" applyFont="1"/>
    <xf numFmtId="0" fontId="24" fillId="0" borderId="14" xfId="0" applyFont="1" applyBorder="1"/>
    <xf numFmtId="164" fontId="24" fillId="0" borderId="11" xfId="1" applyNumberFormat="1" applyFont="1" applyBorder="1" applyAlignment="1">
      <alignment horizontal="center" vertical="center"/>
    </xf>
    <xf numFmtId="164" fontId="24" fillId="0" borderId="14" xfId="1" applyNumberFormat="1" applyFont="1" applyBorder="1" applyAlignment="1">
      <alignment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5" xfId="0" applyFont="1" applyBorder="1"/>
    <xf numFmtId="0" fontId="24" fillId="0" borderId="43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164" fontId="24" fillId="0" borderId="11" xfId="1" applyNumberFormat="1" applyFont="1" applyBorder="1" applyAlignment="1">
      <alignment horizontal="left" vertical="center" wrapText="1"/>
    </xf>
    <xf numFmtId="164" fontId="24" fillId="0" borderId="14" xfId="1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164" fontId="24" fillId="0" borderId="19" xfId="1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3" fillId="0" borderId="58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165" fontId="25" fillId="0" borderId="4" xfId="0" applyNumberFormat="1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165" fontId="25" fillId="0" borderId="29" xfId="0" applyNumberFormat="1" applyFont="1" applyBorder="1" applyAlignment="1">
      <alignment horizontal="center" vertical="center"/>
    </xf>
    <xf numFmtId="164" fontId="24" fillId="0" borderId="12" xfId="1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164" fontId="23" fillId="0" borderId="58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164" fontId="27" fillId="11" borderId="36" xfId="0" applyNumberFormat="1" applyFont="1" applyFill="1" applyBorder="1" applyAlignment="1">
      <alignment horizontal="center"/>
    </xf>
    <xf numFmtId="0" fontId="23" fillId="11" borderId="36" xfId="0" applyFont="1" applyFill="1" applyBorder="1" applyAlignment="1">
      <alignment horizontal="center"/>
    </xf>
    <xf numFmtId="0" fontId="23" fillId="11" borderId="37" xfId="0" applyFont="1" applyFill="1" applyBorder="1" applyAlignment="1">
      <alignment horizontal="center"/>
    </xf>
    <xf numFmtId="0" fontId="29" fillId="11" borderId="35" xfId="0" applyFont="1" applyFill="1" applyBorder="1" applyAlignment="1">
      <alignment horizontal="center"/>
    </xf>
    <xf numFmtId="0" fontId="29" fillId="11" borderId="44" xfId="0" applyFont="1" applyFill="1" applyBorder="1" applyAlignment="1">
      <alignment horizontal="center"/>
    </xf>
    <xf numFmtId="0" fontId="29" fillId="11" borderId="36" xfId="0" applyFont="1" applyFill="1" applyBorder="1" applyAlignment="1">
      <alignment horizontal="center"/>
    </xf>
    <xf numFmtId="0" fontId="29" fillId="11" borderId="37" xfId="0" applyFont="1" applyFill="1" applyBorder="1" applyAlignment="1">
      <alignment horizontal="center"/>
    </xf>
    <xf numFmtId="0" fontId="23" fillId="11" borderId="35" xfId="0" applyFont="1" applyFill="1" applyBorder="1" applyAlignment="1">
      <alignment horizontal="center"/>
    </xf>
    <xf numFmtId="0" fontId="23" fillId="11" borderId="44" xfId="0" applyFont="1" applyFill="1" applyBorder="1" applyAlignment="1">
      <alignment horizontal="center"/>
    </xf>
    <xf numFmtId="164" fontId="23" fillId="11" borderId="36" xfId="0" applyNumberFormat="1" applyFont="1" applyFill="1" applyBorder="1" applyAlignment="1">
      <alignment horizontal="center"/>
    </xf>
    <xf numFmtId="0" fontId="28" fillId="11" borderId="37" xfId="0" applyFont="1" applyFill="1" applyBorder="1" applyAlignment="1">
      <alignment horizontal="center"/>
    </xf>
    <xf numFmtId="0" fontId="23" fillId="12" borderId="35" xfId="0" applyFont="1" applyFill="1" applyBorder="1" applyAlignment="1">
      <alignment horizontal="center" vertical="center" wrapText="1"/>
    </xf>
    <xf numFmtId="0" fontId="23" fillId="12" borderId="44" xfId="0" applyFont="1" applyFill="1" applyBorder="1" applyAlignment="1">
      <alignment horizontal="center" vertical="center" wrapText="1"/>
    </xf>
    <xf numFmtId="43" fontId="23" fillId="12" borderId="36" xfId="1" applyFont="1" applyFill="1" applyBorder="1" applyAlignment="1">
      <alignment horizontal="center" vertical="center" wrapText="1"/>
    </xf>
    <xf numFmtId="0" fontId="23" fillId="12" borderId="36" xfId="0" applyFont="1" applyFill="1" applyBorder="1" applyAlignment="1">
      <alignment horizontal="center" vertical="center" wrapText="1"/>
    </xf>
    <xf numFmtId="0" fontId="23" fillId="12" borderId="37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vertical="center"/>
    </xf>
    <xf numFmtId="0" fontId="23" fillId="6" borderId="36" xfId="0" applyFont="1" applyFill="1" applyBorder="1" applyAlignment="1">
      <alignment horizontal="center" vertical="center"/>
    </xf>
    <xf numFmtId="164" fontId="27" fillId="6" borderId="36" xfId="0" applyNumberFormat="1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0" fillId="0" borderId="58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2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5" xfId="0" applyBorder="1" applyAlignment="1">
      <alignment horizontal="center"/>
    </xf>
    <xf numFmtId="165" fontId="1" fillId="0" borderId="29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1" xfId="0" applyNumberFormat="1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1" fillId="0" borderId="0" xfId="0" applyFont="1"/>
    <xf numFmtId="0" fontId="12" fillId="0" borderId="24" xfId="0" applyFont="1" applyBorder="1" applyAlignment="1">
      <alignment horizontal="left"/>
    </xf>
    <xf numFmtId="0" fontId="12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9" xfId="0" applyFont="1" applyBorder="1" applyAlignment="1">
      <alignment horizontal="left"/>
    </xf>
    <xf numFmtId="0" fontId="12" fillId="0" borderId="55" xfId="0" applyFont="1" applyBorder="1" applyAlignment="1">
      <alignment horizontal="center"/>
    </xf>
    <xf numFmtId="0" fontId="12" fillId="0" borderId="55" xfId="0" applyFont="1" applyBorder="1" applyAlignment="1">
      <alignment horizontal="center" wrapText="1"/>
    </xf>
    <xf numFmtId="0" fontId="12" fillId="0" borderId="2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1" fontId="11" fillId="0" borderId="55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0" fillId="12" borderId="35" xfId="0" applyFont="1" applyFill="1" applyBorder="1" applyAlignment="1">
      <alignment horizontal="center" vertical="center" wrapText="1"/>
    </xf>
    <xf numFmtId="0" fontId="30" fillId="12" borderId="44" xfId="0" applyFont="1" applyFill="1" applyBorder="1" applyAlignment="1">
      <alignment horizontal="center" vertical="center"/>
    </xf>
    <xf numFmtId="0" fontId="30" fillId="12" borderId="44" xfId="0" applyFont="1" applyFill="1" applyBorder="1" applyAlignment="1">
      <alignment horizontal="center" vertical="center" wrapText="1"/>
    </xf>
    <xf numFmtId="0" fontId="30" fillId="12" borderId="36" xfId="0" applyFont="1" applyFill="1" applyBorder="1" applyAlignment="1">
      <alignment horizontal="center" vertical="center" wrapText="1"/>
    </xf>
    <xf numFmtId="0" fontId="30" fillId="12" borderId="45" xfId="0" applyFont="1" applyFill="1" applyBorder="1" applyAlignment="1">
      <alignment horizontal="center" vertical="center"/>
    </xf>
    <xf numFmtId="0" fontId="30" fillId="12" borderId="48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/>
    </xf>
    <xf numFmtId="0" fontId="6" fillId="11" borderId="44" xfId="0" applyFont="1" applyFill="1" applyBorder="1" applyAlignment="1">
      <alignment horizontal="center"/>
    </xf>
    <xf numFmtId="1" fontId="6" fillId="11" borderId="44" xfId="0" applyNumberFormat="1" applyFont="1" applyFill="1" applyBorder="1" applyAlignment="1">
      <alignment horizontal="center" wrapText="1"/>
    </xf>
    <xf numFmtId="0" fontId="6" fillId="11" borderId="44" xfId="0" applyFont="1" applyFill="1" applyBorder="1" applyAlignment="1">
      <alignment horizontal="center" wrapText="1"/>
    </xf>
    <xf numFmtId="0" fontId="6" fillId="11" borderId="36" xfId="0" applyFont="1" applyFill="1" applyBorder="1" applyAlignment="1">
      <alignment horizontal="center"/>
    </xf>
    <xf numFmtId="0" fontId="6" fillId="11" borderId="45" xfId="0" applyFont="1" applyFill="1" applyBorder="1" applyAlignment="1">
      <alignment horizontal="center"/>
    </xf>
    <xf numFmtId="0" fontId="10" fillId="6" borderId="48" xfId="0" applyFont="1" applyFill="1" applyBorder="1" applyAlignment="1">
      <alignment horizontal="center"/>
    </xf>
    <xf numFmtId="0" fontId="13" fillId="11" borderId="35" xfId="0" applyFont="1" applyFill="1" applyBorder="1"/>
    <xf numFmtId="0" fontId="13" fillId="11" borderId="36" xfId="0" applyFont="1" applyFill="1" applyBorder="1" applyAlignment="1">
      <alignment horizontal="center"/>
    </xf>
    <xf numFmtId="0" fontId="13" fillId="11" borderId="36" xfId="0" applyFont="1" applyFill="1" applyBorder="1" applyAlignment="1">
      <alignment horizontal="center" wrapText="1"/>
    </xf>
    <xf numFmtId="0" fontId="13" fillId="11" borderId="37" xfId="0" applyFont="1" applyFill="1" applyBorder="1" applyAlignment="1">
      <alignment horizontal="center"/>
    </xf>
    <xf numFmtId="0" fontId="0" fillId="0" borderId="24" xfId="0" applyBorder="1"/>
    <xf numFmtId="0" fontId="1" fillId="3" borderId="35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43" fontId="1" fillId="3" borderId="36" xfId="1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1" fillId="13" borderId="35" xfId="0" applyFont="1" applyFill="1" applyBorder="1" applyAlignment="1">
      <alignment horizontal="center"/>
    </xf>
    <xf numFmtId="0" fontId="11" fillId="13" borderId="44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 vertical="center"/>
    </xf>
    <xf numFmtId="0" fontId="11" fillId="13" borderId="36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" fillId="13" borderId="35" xfId="0" applyFont="1" applyFill="1" applyBorder="1" applyAlignment="1">
      <alignment horizontal="center"/>
    </xf>
    <xf numFmtId="0" fontId="1" fillId="13" borderId="44" xfId="0" applyFont="1" applyFill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37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/>
    </xf>
    <xf numFmtId="2" fontId="22" fillId="5" borderId="43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 wrapText="1"/>
    </xf>
    <xf numFmtId="1" fontId="21" fillId="0" borderId="23" xfId="0" applyNumberFormat="1" applyFont="1" applyBorder="1" applyAlignment="1">
      <alignment horizontal="center"/>
    </xf>
    <xf numFmtId="0" fontId="21" fillId="0" borderId="23" xfId="0" applyFont="1" applyBorder="1"/>
    <xf numFmtId="0" fontId="0" fillId="0" borderId="62" xfId="0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2" fontId="20" fillId="5" borderId="12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" fillId="12" borderId="35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 wrapText="1"/>
    </xf>
    <xf numFmtId="0" fontId="11" fillId="11" borderId="35" xfId="0" applyFont="1" applyFill="1" applyBorder="1"/>
    <xf numFmtId="0" fontId="11" fillId="11" borderId="36" xfId="0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wrapText="1"/>
    </xf>
    <xf numFmtId="17" fontId="0" fillId="0" borderId="14" xfId="0" applyNumberFormat="1" applyBorder="1" applyAlignment="1">
      <alignment horizontal="left"/>
    </xf>
    <xf numFmtId="1" fontId="15" fillId="6" borderId="36" xfId="0" applyNumberFormat="1" applyFont="1" applyFill="1" applyBorder="1" applyAlignment="1">
      <alignment horizontal="center" wrapText="1"/>
    </xf>
    <xf numFmtId="1" fontId="10" fillId="6" borderId="36" xfId="0" applyNumberFormat="1" applyFont="1" applyFill="1" applyBorder="1" applyAlignment="1">
      <alignment horizontal="center" wrapText="1"/>
    </xf>
    <xf numFmtId="0" fontId="35" fillId="6" borderId="3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36" fillId="0" borderId="24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6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4" fontId="23" fillId="0" borderId="25" xfId="1" applyNumberFormat="1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1" fillId="0" borderId="25" xfId="0" applyFont="1" applyBorder="1"/>
    <xf numFmtId="0" fontId="6" fillId="0" borderId="43" xfId="0" applyFont="1" applyBorder="1"/>
    <xf numFmtId="0" fontId="11" fillId="0" borderId="34" xfId="0" applyFont="1" applyBorder="1" applyAlignment="1">
      <alignment horizontal="center"/>
    </xf>
    <xf numFmtId="0" fontId="1" fillId="0" borderId="20" xfId="0" applyFont="1" applyBorder="1"/>
    <xf numFmtId="0" fontId="6" fillId="0" borderId="20" xfId="0" applyFont="1" applyBorder="1"/>
    <xf numFmtId="0" fontId="11" fillId="0" borderId="20" xfId="0" applyFont="1" applyBorder="1" applyAlignment="1">
      <alignment horizontal="center"/>
    </xf>
    <xf numFmtId="165" fontId="24" fillId="0" borderId="14" xfId="0" applyNumberFormat="1" applyFont="1" applyBorder="1" applyAlignment="1">
      <alignment horizontal="center" vertical="center"/>
    </xf>
    <xf numFmtId="165" fontId="24" fillId="0" borderId="11" xfId="0" applyNumberFormat="1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165" fontId="37" fillId="0" borderId="1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12" fillId="0" borderId="14" xfId="0" applyFont="1" applyBorder="1"/>
    <xf numFmtId="0" fontId="12" fillId="0" borderId="14" xfId="0" applyFont="1" applyBorder="1" applyAlignment="1">
      <alignment vertical="center" wrapText="1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/>
    <xf numFmtId="165" fontId="37" fillId="0" borderId="14" xfId="0" applyNumberFormat="1" applyFont="1" applyBorder="1" applyAlignment="1">
      <alignment horizontal="left" vertical="center"/>
    </xf>
    <xf numFmtId="165" fontId="24" fillId="0" borderId="14" xfId="0" applyNumberFormat="1" applyFont="1" applyBorder="1" applyAlignment="1">
      <alignment horizontal="left" vertical="center"/>
    </xf>
    <xf numFmtId="0" fontId="11" fillId="3" borderId="25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43" fontId="11" fillId="3" borderId="43" xfId="1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43" fontId="0" fillId="0" borderId="0" xfId="1" applyFont="1" applyBorder="1" applyAlignment="1">
      <alignment horizontal="center"/>
    </xf>
    <xf numFmtId="164" fontId="10" fillId="6" borderId="36" xfId="1" applyNumberFormat="1" applyFont="1" applyFill="1" applyBorder="1" applyAlignment="1">
      <alignment horizontal="center"/>
    </xf>
    <xf numFmtId="164" fontId="39" fillId="11" borderId="36" xfId="0" applyNumberFormat="1" applyFont="1" applyFill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165" fontId="0" fillId="0" borderId="1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32" fillId="6" borderId="36" xfId="0" applyFont="1" applyFill="1" applyBorder="1" applyAlignment="1">
      <alignment horizontal="center"/>
    </xf>
    <xf numFmtId="0" fontId="24" fillId="0" borderId="33" xfId="0" applyFont="1" applyBorder="1"/>
    <xf numFmtId="0" fontId="24" fillId="0" borderId="54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164" fontId="27" fillId="14" borderId="36" xfId="0" applyNumberFormat="1" applyFont="1" applyFill="1" applyBorder="1" applyAlignment="1">
      <alignment horizontal="center"/>
    </xf>
    <xf numFmtId="0" fontId="27" fillId="14" borderId="36" xfId="0" applyFont="1" applyFill="1" applyBorder="1" applyAlignment="1">
      <alignment horizontal="center"/>
    </xf>
    <xf numFmtId="0" fontId="27" fillId="14" borderId="37" xfId="0" applyFont="1" applyFill="1" applyBorder="1" applyAlignment="1">
      <alignment horizontal="center"/>
    </xf>
    <xf numFmtId="164" fontId="27" fillId="14" borderId="48" xfId="0" applyNumberFormat="1" applyFont="1" applyFill="1" applyBorder="1" applyAlignment="1">
      <alignment horizontal="center"/>
    </xf>
    <xf numFmtId="0" fontId="27" fillId="14" borderId="10" xfId="0" applyFont="1" applyFill="1" applyBorder="1" applyAlignment="1">
      <alignment horizontal="center"/>
    </xf>
    <xf numFmtId="0" fontId="15" fillId="0" borderId="14" xfId="0" applyFont="1" applyBorder="1"/>
    <xf numFmtId="0" fontId="37" fillId="0" borderId="1" xfId="0" applyFont="1" applyBorder="1" applyAlignment="1">
      <alignment horizontal="center" vertical="center"/>
    </xf>
    <xf numFmtId="0" fontId="27" fillId="14" borderId="48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5" xfId="0" applyBorder="1"/>
    <xf numFmtId="9" fontId="0" fillId="0" borderId="32" xfId="0" applyNumberForma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3" xfId="0" applyNumberFormat="1" applyBorder="1"/>
    <xf numFmtId="0" fontId="0" fillId="0" borderId="21" xfId="0" applyBorder="1"/>
    <xf numFmtId="1" fontId="6" fillId="0" borderId="36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0" fontId="9" fillId="12" borderId="35" xfId="0" applyFont="1" applyFill="1" applyBorder="1"/>
    <xf numFmtId="1" fontId="9" fillId="6" borderId="37" xfId="0" applyNumberFormat="1" applyFont="1" applyFill="1" applyBorder="1"/>
    <xf numFmtId="0" fontId="10" fillId="15" borderId="35" xfId="0" applyFont="1" applyFill="1" applyBorder="1"/>
    <xf numFmtId="1" fontId="10" fillId="6" borderId="37" xfId="0" applyNumberFormat="1" applyFont="1" applyFill="1" applyBorder="1"/>
    <xf numFmtId="0" fontId="9" fillId="0" borderId="0" xfId="0" applyFont="1"/>
    <xf numFmtId="1" fontId="9" fillId="0" borderId="0" xfId="0" applyNumberFormat="1" applyFont="1"/>
    <xf numFmtId="1" fontId="0" fillId="0" borderId="0" xfId="0" applyNumberFormat="1"/>
    <xf numFmtId="14" fontId="0" fillId="0" borderId="14" xfId="0" applyNumberFormat="1" applyBorder="1" applyAlignment="1">
      <alignment horizontal="center"/>
    </xf>
    <xf numFmtId="1" fontId="0" fillId="0" borderId="0" xfId="0" applyNumberFormat="1" applyAlignment="1">
      <alignment horizontal="center" wrapText="1"/>
    </xf>
    <xf numFmtId="164" fontId="24" fillId="0" borderId="66" xfId="1" applyNumberFormat="1" applyFont="1" applyBorder="1" applyAlignment="1">
      <alignment horizontal="left" vertical="center" wrapText="1"/>
    </xf>
    <xf numFmtId="0" fontId="24" fillId="0" borderId="58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164" fontId="23" fillId="0" borderId="35" xfId="1" applyNumberFormat="1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164" fontId="41" fillId="6" borderId="0" xfId="0" applyNumberFormat="1" applyFont="1" applyFill="1" applyAlignment="1">
      <alignment horizontal="center"/>
    </xf>
    <xf numFmtId="165" fontId="0" fillId="0" borderId="19" xfId="0" applyNumberForma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165" fontId="0" fillId="0" borderId="24" xfId="0" applyNumberFormat="1" applyBorder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165" fontId="1" fillId="0" borderId="35" xfId="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2" fontId="0" fillId="0" borderId="15" xfId="0" applyNumberFormat="1" applyBorder="1" applyAlignment="1">
      <alignment horizontal="center"/>
    </xf>
    <xf numFmtId="0" fontId="5" fillId="0" borderId="24" xfId="0" applyFont="1" applyBorder="1"/>
    <xf numFmtId="0" fontId="5" fillId="0" borderId="35" xfId="0" applyFont="1" applyBorder="1"/>
    <xf numFmtId="2" fontId="1" fillId="0" borderId="37" xfId="0" applyNumberFormat="1" applyFont="1" applyBorder="1" applyAlignment="1">
      <alignment horizontal="center"/>
    </xf>
    <xf numFmtId="0" fontId="5" fillId="0" borderId="66" xfId="0" applyFont="1" applyBorder="1"/>
    <xf numFmtId="0" fontId="0" fillId="0" borderId="37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" fillId="0" borderId="58" xfId="0" applyFont="1" applyBorder="1" applyAlignment="1">
      <alignment horizontal="center"/>
    </xf>
    <xf numFmtId="165" fontId="0" fillId="0" borderId="0" xfId="0" applyNumberFormat="1"/>
    <xf numFmtId="14" fontId="0" fillId="0" borderId="1" xfId="0" applyNumberFormat="1" applyBorder="1"/>
    <xf numFmtId="1" fontId="0" fillId="0" borderId="1" xfId="0" applyNumberFormat="1" applyBorder="1"/>
    <xf numFmtId="1" fontId="0" fillId="0" borderId="15" xfId="0" applyNumberFormat="1" applyBorder="1"/>
    <xf numFmtId="9" fontId="0" fillId="0" borderId="0" xfId="0" applyNumberFormat="1"/>
    <xf numFmtId="0" fontId="11" fillId="0" borderId="36" xfId="0" applyFon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1" fillId="0" borderId="35" xfId="1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0" borderId="36" xfId="1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0" fillId="6" borderId="0" xfId="0" applyNumberForma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5" xfId="0" applyBorder="1"/>
    <xf numFmtId="0" fontId="6" fillId="0" borderId="24" xfId="0" applyFont="1" applyBorder="1" applyAlignment="1">
      <alignment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0" fontId="10" fillId="0" borderId="35" xfId="0" applyFont="1" applyBorder="1" applyAlignment="1">
      <alignment vertical="center" wrapText="1"/>
    </xf>
    <xf numFmtId="43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43" fontId="1" fillId="0" borderId="36" xfId="1" applyFont="1" applyBorder="1" applyAlignment="1">
      <alignment horizontal="center"/>
    </xf>
    <xf numFmtId="43" fontId="1" fillId="0" borderId="37" xfId="1" applyFont="1" applyBorder="1" applyAlignment="1">
      <alignment horizontal="center"/>
    </xf>
    <xf numFmtId="43" fontId="0" fillId="0" borderId="32" xfId="0" applyNumberFormat="1" applyBorder="1" applyAlignment="1">
      <alignment horizontal="center"/>
    </xf>
    <xf numFmtId="43" fontId="0" fillId="0" borderId="2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8" fillId="0" borderId="40" xfId="0" applyNumberFormat="1" applyFont="1" applyBorder="1"/>
    <xf numFmtId="0" fontId="42" fillId="0" borderId="20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7" fontId="8" fillId="0" borderId="47" xfId="0" applyNumberFormat="1" applyFont="1" applyBorder="1"/>
    <xf numFmtId="0" fontId="8" fillId="0" borderId="20" xfId="0" applyFont="1" applyBorder="1" applyAlignment="1">
      <alignment horizontal="center" wrapText="1"/>
    </xf>
    <xf numFmtId="17" fontId="8" fillId="0" borderId="41" xfId="0" applyNumberFormat="1" applyFont="1" applyBorder="1"/>
    <xf numFmtId="0" fontId="42" fillId="0" borderId="58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164" fontId="10" fillId="6" borderId="45" xfId="1" applyNumberFormat="1" applyFont="1" applyFill="1" applyBorder="1" applyAlignment="1">
      <alignment horizontal="center" vertical="center"/>
    </xf>
    <xf numFmtId="0" fontId="0" fillId="0" borderId="48" xfId="0" applyBorder="1"/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wrapText="1"/>
    </xf>
    <xf numFmtId="0" fontId="43" fillId="0" borderId="32" xfId="0" applyFont="1" applyBorder="1"/>
    <xf numFmtId="1" fontId="43" fillId="0" borderId="32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44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5" xfId="0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4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6" fillId="4" borderId="3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39" xfId="0" applyFont="1" applyBorder="1" applyAlignment="1">
      <alignment horizontal="center"/>
    </xf>
    <xf numFmtId="164" fontId="40" fillId="0" borderId="8" xfId="1" applyNumberFormat="1" applyFont="1" applyBorder="1" applyAlignment="1">
      <alignment horizontal="center" vertical="center" wrapText="1"/>
    </xf>
    <xf numFmtId="164" fontId="40" fillId="0" borderId="9" xfId="1" applyNumberFormat="1" applyFont="1" applyBorder="1" applyAlignment="1">
      <alignment horizontal="center" vertical="center" wrapText="1"/>
    </xf>
    <xf numFmtId="164" fontId="40" fillId="0" borderId="10" xfId="1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11" borderId="8" xfId="0" applyFont="1" applyFill="1" applyBorder="1" applyAlignment="1">
      <alignment horizontal="center"/>
    </xf>
    <xf numFmtId="0" fontId="23" fillId="11" borderId="9" xfId="0" applyFont="1" applyFill="1" applyBorder="1" applyAlignment="1">
      <alignment horizontal="center"/>
    </xf>
    <xf numFmtId="0" fontId="23" fillId="11" borderId="44" xfId="0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17" fontId="0" fillId="0" borderId="40" xfId="0" applyNumberFormat="1" applyBorder="1" applyAlignment="1">
      <alignment horizontal="left"/>
    </xf>
    <xf numFmtId="17" fontId="0" fillId="0" borderId="3" xfId="0" applyNumberFormat="1" applyBorder="1" applyAlignment="1">
      <alignment horizontal="left"/>
    </xf>
    <xf numFmtId="17" fontId="0" fillId="0" borderId="4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/>
    </xf>
    <xf numFmtId="0" fontId="11" fillId="11" borderId="44" xfId="0" applyFont="1" applyFill="1" applyBorder="1" applyAlignment="1">
      <alignment horizontal="center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" fillId="12" borderId="8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3" fillId="11" borderId="8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center"/>
    </xf>
    <xf numFmtId="0" fontId="27" fillId="14" borderId="9" xfId="0" applyFont="1" applyFill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27" fillId="0" borderId="65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14" borderId="4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73"/>
  <sheetViews>
    <sheetView topLeftCell="A30" zoomScale="90" zoomScaleNormal="90" workbookViewId="0">
      <selection activeCell="K66" sqref="K66"/>
    </sheetView>
  </sheetViews>
  <sheetFormatPr defaultRowHeight="18.5" x14ac:dyDescent="0.45"/>
  <cols>
    <col min="1" max="1" width="11.6328125" bestFit="1" customWidth="1"/>
    <col min="2" max="2" width="19.54296875" style="21" customWidth="1"/>
    <col min="3" max="3" width="14.7265625" style="1" bestFit="1" customWidth="1"/>
    <col min="4" max="4" width="13.81640625" style="1" bestFit="1" customWidth="1"/>
    <col min="5" max="5" width="14.90625" style="1" customWidth="1"/>
    <col min="6" max="6" width="3.81640625" customWidth="1"/>
    <col min="7" max="7" width="12.90625" bestFit="1" customWidth="1"/>
    <col min="8" max="8" width="13.90625" customWidth="1"/>
    <col min="9" max="9" width="13.54296875" customWidth="1"/>
    <col min="10" max="10" width="16.08984375" style="1" bestFit="1" customWidth="1"/>
    <col min="11" max="11" width="10" style="1" bestFit="1" customWidth="1"/>
    <col min="12" max="12" width="13.6328125" bestFit="1" customWidth="1"/>
    <col min="13" max="13" width="7.08984375" customWidth="1"/>
    <col min="14" max="14" width="10" customWidth="1"/>
    <col min="15" max="15" width="9.7265625" style="1" customWidth="1"/>
    <col min="16" max="16" width="6.7265625" style="4" customWidth="1"/>
    <col min="17" max="17" width="9.54296875" bestFit="1" customWidth="1"/>
    <col min="18" max="18" width="7.6328125" bestFit="1" customWidth="1"/>
    <col min="19" max="19" width="14.08984375" bestFit="1" customWidth="1"/>
    <col min="20" max="20" width="8.453125" style="4" bestFit="1" customWidth="1"/>
    <col min="21" max="21" width="10.36328125" customWidth="1"/>
    <col min="22" max="22" width="18" bestFit="1" customWidth="1"/>
  </cols>
  <sheetData>
    <row r="2" spans="2:20" ht="19" thickBot="1" x14ac:dyDescent="0.5"/>
    <row r="3" spans="2:20" ht="19" customHeight="1" thickBot="1" x14ac:dyDescent="0.4">
      <c r="B3" s="595" t="s">
        <v>34</v>
      </c>
      <c r="C3" s="597" t="s">
        <v>51</v>
      </c>
      <c r="D3" s="598"/>
      <c r="E3" s="599"/>
      <c r="F3" s="598"/>
      <c r="G3" s="586" t="s">
        <v>82</v>
      </c>
      <c r="H3" s="587"/>
      <c r="I3" s="587"/>
      <c r="J3" s="588"/>
      <c r="L3" t="s">
        <v>76</v>
      </c>
      <c r="P3"/>
      <c r="T3"/>
    </row>
    <row r="4" spans="2:20" ht="15" thickBot="1" x14ac:dyDescent="0.4">
      <c r="B4" s="596"/>
      <c r="C4" s="15"/>
      <c r="D4" s="16" t="s">
        <v>4</v>
      </c>
      <c r="E4" s="17" t="s">
        <v>5</v>
      </c>
      <c r="F4" s="610"/>
      <c r="G4" s="15" t="s">
        <v>76</v>
      </c>
      <c r="H4" s="157" t="s">
        <v>4</v>
      </c>
      <c r="I4" s="157" t="s">
        <v>76</v>
      </c>
      <c r="J4" s="17" t="s">
        <v>5</v>
      </c>
      <c r="O4"/>
      <c r="P4" s="1"/>
      <c r="T4"/>
    </row>
    <row r="5" spans="2:20" ht="14.5" x14ac:dyDescent="0.35">
      <c r="B5" s="596"/>
      <c r="C5" s="39">
        <v>45513</v>
      </c>
      <c r="D5" s="25">
        <v>65000000</v>
      </c>
      <c r="E5" s="26">
        <v>25000000</v>
      </c>
      <c r="F5" s="610"/>
      <c r="G5" s="71">
        <v>45488</v>
      </c>
      <c r="H5" s="72">
        <v>90000000</v>
      </c>
      <c r="I5" s="71">
        <v>45345</v>
      </c>
      <c r="J5" s="38">
        <v>12100000</v>
      </c>
      <c r="O5"/>
      <c r="P5" s="62"/>
      <c r="Q5" s="4"/>
      <c r="R5" s="4"/>
      <c r="T5"/>
    </row>
    <row r="6" spans="2:20" ht="14.5" x14ac:dyDescent="0.35">
      <c r="B6" s="596"/>
      <c r="C6" s="39">
        <v>45518</v>
      </c>
      <c r="D6" s="27">
        <v>85000000</v>
      </c>
      <c r="E6" s="28">
        <v>0</v>
      </c>
      <c r="F6" s="610"/>
      <c r="G6" s="39">
        <v>45512</v>
      </c>
      <c r="H6" s="27">
        <v>10000000</v>
      </c>
      <c r="I6" s="71">
        <v>45362</v>
      </c>
      <c r="J6" s="28">
        <v>12000000</v>
      </c>
      <c r="O6"/>
      <c r="P6" s="62"/>
      <c r="Q6" s="4"/>
      <c r="R6" s="4"/>
      <c r="T6"/>
    </row>
    <row r="7" spans="2:20" ht="14.5" x14ac:dyDescent="0.35">
      <c r="B7" s="596"/>
      <c r="C7" s="39">
        <v>45525</v>
      </c>
      <c r="D7" s="27">
        <v>0</v>
      </c>
      <c r="E7" s="28">
        <v>10000000</v>
      </c>
      <c r="F7" s="610"/>
      <c r="G7" s="39">
        <v>45541</v>
      </c>
      <c r="H7" s="27">
        <v>10000000</v>
      </c>
      <c r="I7" s="71">
        <v>45369</v>
      </c>
      <c r="J7" s="28">
        <v>7500000</v>
      </c>
      <c r="O7"/>
      <c r="P7" s="62"/>
      <c r="Q7" s="4"/>
      <c r="R7" s="4"/>
      <c r="T7"/>
    </row>
    <row r="8" spans="2:20" ht="14.5" x14ac:dyDescent="0.35">
      <c r="B8" s="596"/>
      <c r="C8" s="39">
        <v>45532</v>
      </c>
      <c r="D8" s="27">
        <v>0</v>
      </c>
      <c r="E8" s="28">
        <v>5000000</v>
      </c>
      <c r="F8" s="610"/>
      <c r="G8" s="39">
        <v>45545</v>
      </c>
      <c r="H8" s="27">
        <v>21000000</v>
      </c>
      <c r="I8" s="71">
        <v>45373</v>
      </c>
      <c r="J8" s="28">
        <v>7000000</v>
      </c>
      <c r="O8"/>
      <c r="P8" s="62"/>
      <c r="Q8" s="4"/>
      <c r="R8" s="4"/>
      <c r="T8"/>
    </row>
    <row r="9" spans="2:20" ht="14.5" x14ac:dyDescent="0.35">
      <c r="B9" s="596"/>
      <c r="C9" s="39">
        <v>45534</v>
      </c>
      <c r="D9" s="27">
        <v>0</v>
      </c>
      <c r="E9" s="28">
        <v>10000000</v>
      </c>
      <c r="F9" s="610"/>
      <c r="G9" s="39">
        <v>45563</v>
      </c>
      <c r="H9" s="27">
        <v>29000000</v>
      </c>
      <c r="I9" s="71">
        <v>45388</v>
      </c>
      <c r="J9" s="28">
        <v>5500000</v>
      </c>
      <c r="O9"/>
      <c r="P9" s="62"/>
      <c r="Q9" s="4"/>
      <c r="R9" s="4"/>
      <c r="T9"/>
    </row>
    <row r="10" spans="2:20" ht="14.5" x14ac:dyDescent="0.35">
      <c r="B10" s="596"/>
      <c r="C10" s="39">
        <v>45540</v>
      </c>
      <c r="D10" s="27">
        <v>0</v>
      </c>
      <c r="E10" s="28">
        <v>5000000</v>
      </c>
      <c r="F10" s="610"/>
      <c r="G10" s="39">
        <v>45567</v>
      </c>
      <c r="H10" s="27">
        <v>10000000</v>
      </c>
      <c r="I10" s="71">
        <v>45392</v>
      </c>
      <c r="J10" s="28">
        <v>6000000</v>
      </c>
      <c r="O10"/>
      <c r="P10" s="62"/>
      <c r="Q10" s="4"/>
      <c r="R10" s="4"/>
      <c r="T10"/>
    </row>
    <row r="11" spans="2:20" ht="14.5" x14ac:dyDescent="0.35">
      <c r="B11" s="596"/>
      <c r="C11" s="39">
        <v>45546</v>
      </c>
      <c r="D11" s="27">
        <v>0</v>
      </c>
      <c r="E11" s="28">
        <v>5000000</v>
      </c>
      <c r="F11" s="610"/>
      <c r="G11" s="39">
        <v>45569</v>
      </c>
      <c r="H11" s="27">
        <v>20000000</v>
      </c>
      <c r="I11" s="71">
        <v>45474</v>
      </c>
      <c r="J11" s="28">
        <v>10000000</v>
      </c>
      <c r="O11"/>
      <c r="P11" s="62"/>
      <c r="Q11" s="4"/>
      <c r="R11" s="4"/>
      <c r="T11"/>
    </row>
    <row r="12" spans="2:20" ht="14.5" x14ac:dyDescent="0.35">
      <c r="B12" s="596"/>
      <c r="C12" s="39">
        <v>45556</v>
      </c>
      <c r="D12" s="27">
        <v>0</v>
      </c>
      <c r="E12" s="28">
        <v>10000000</v>
      </c>
      <c r="F12" s="610"/>
      <c r="G12" s="39">
        <v>45572</v>
      </c>
      <c r="H12" s="27">
        <v>10000000</v>
      </c>
      <c r="I12" s="71">
        <v>45482</v>
      </c>
      <c r="J12" s="28">
        <v>10000000</v>
      </c>
      <c r="O12"/>
      <c r="P12" s="62"/>
      <c r="Q12" s="4"/>
      <c r="R12" s="4"/>
      <c r="T12"/>
    </row>
    <row r="13" spans="2:20" ht="14.5" x14ac:dyDescent="0.35">
      <c r="B13" s="596"/>
      <c r="C13" s="39">
        <v>45559</v>
      </c>
      <c r="D13" s="27">
        <v>20000000</v>
      </c>
      <c r="E13" s="28">
        <v>0</v>
      </c>
      <c r="F13" s="610"/>
      <c r="G13" s="39">
        <v>45574</v>
      </c>
      <c r="H13" s="27">
        <v>15000000</v>
      </c>
      <c r="I13" s="71">
        <v>45509</v>
      </c>
      <c r="J13" s="28">
        <v>20000000</v>
      </c>
      <c r="O13"/>
      <c r="P13" s="62"/>
      <c r="Q13" s="4"/>
      <c r="R13" s="4"/>
      <c r="T13"/>
    </row>
    <row r="14" spans="2:20" ht="14.5" x14ac:dyDescent="0.35">
      <c r="B14" s="596"/>
      <c r="C14" s="39">
        <v>45565</v>
      </c>
      <c r="D14" s="29">
        <v>0</v>
      </c>
      <c r="E14" s="30">
        <v>10000000</v>
      </c>
      <c r="F14" s="610"/>
      <c r="G14" s="39">
        <v>45580</v>
      </c>
      <c r="H14" s="27">
        <v>23000000</v>
      </c>
      <c r="I14" s="71">
        <v>45513</v>
      </c>
      <c r="J14" s="28">
        <v>6500000</v>
      </c>
      <c r="O14"/>
      <c r="P14" s="62"/>
      <c r="Q14" s="4"/>
      <c r="R14" s="4"/>
      <c r="T14"/>
    </row>
    <row r="15" spans="2:20" ht="15" thickBot="1" x14ac:dyDescent="0.4">
      <c r="B15" s="596"/>
      <c r="C15" s="20"/>
      <c r="D15" s="29"/>
      <c r="E15" s="30"/>
      <c r="F15" s="610"/>
      <c r="G15" s="39">
        <v>45581</v>
      </c>
      <c r="H15" s="27">
        <v>17000000</v>
      </c>
      <c r="I15" s="71">
        <v>45535</v>
      </c>
      <c r="J15" s="28">
        <v>10000000</v>
      </c>
      <c r="O15"/>
      <c r="P15" s="62"/>
      <c r="Q15" s="4"/>
      <c r="R15" s="4"/>
      <c r="T15"/>
    </row>
    <row r="16" spans="2:20" ht="14.5" x14ac:dyDescent="0.35">
      <c r="B16" s="596"/>
      <c r="C16" s="20"/>
      <c r="D16" s="29"/>
      <c r="E16" s="30"/>
      <c r="F16" s="610"/>
      <c r="G16" s="39">
        <v>45701</v>
      </c>
      <c r="H16" s="27">
        <v>30000000</v>
      </c>
      <c r="I16" s="71">
        <v>45537</v>
      </c>
      <c r="J16" s="28">
        <v>7500000</v>
      </c>
      <c r="O16" s="112" t="s">
        <v>64</v>
      </c>
      <c r="P16" s="118">
        <v>3</v>
      </c>
      <c r="Q16" s="4"/>
      <c r="R16" s="4"/>
      <c r="T16"/>
    </row>
    <row r="17" spans="2:20" ht="14.5" x14ac:dyDescent="0.35">
      <c r="B17" s="596"/>
      <c r="C17" s="20"/>
      <c r="D17" s="29"/>
      <c r="E17" s="30"/>
      <c r="F17" s="610"/>
      <c r="G17" s="39">
        <v>45705</v>
      </c>
      <c r="H17" s="27">
        <v>28000000</v>
      </c>
      <c r="I17" s="71">
        <v>45556</v>
      </c>
      <c r="J17" s="28">
        <v>6500000</v>
      </c>
      <c r="O17" s="113" t="s">
        <v>65</v>
      </c>
      <c r="P17" s="119">
        <v>2.8</v>
      </c>
      <c r="Q17" s="4"/>
      <c r="R17" s="4"/>
      <c r="T17"/>
    </row>
    <row r="18" spans="2:20" ht="14.4" customHeight="1" x14ac:dyDescent="0.35">
      <c r="B18" s="596"/>
      <c r="C18" s="20"/>
      <c r="D18" s="29"/>
      <c r="E18" s="30"/>
      <c r="F18" s="610"/>
      <c r="G18" s="39">
        <v>45708</v>
      </c>
      <c r="H18" s="27">
        <v>12000000</v>
      </c>
      <c r="I18" s="71">
        <v>45559</v>
      </c>
      <c r="J18" s="28">
        <v>7000000</v>
      </c>
      <c r="O18" s="113" t="s">
        <v>66</v>
      </c>
      <c r="P18" s="119">
        <v>1.2</v>
      </c>
      <c r="Q18" s="4"/>
      <c r="R18" s="4"/>
      <c r="T18"/>
    </row>
    <row r="19" spans="2:20" ht="14.4" customHeight="1" x14ac:dyDescent="0.35">
      <c r="B19" s="596"/>
      <c r="C19" s="20"/>
      <c r="D19" s="29"/>
      <c r="E19" s="30"/>
      <c r="F19" s="610"/>
      <c r="G19" s="39" t="s">
        <v>47</v>
      </c>
      <c r="H19" s="40">
        <v>8500000</v>
      </c>
      <c r="I19" s="71">
        <v>45572</v>
      </c>
      <c r="J19" s="28">
        <v>6000000</v>
      </c>
      <c r="O19" s="113" t="s">
        <v>67</v>
      </c>
      <c r="P19" s="119">
        <v>0.85</v>
      </c>
      <c r="Q19" s="4"/>
      <c r="R19" s="4"/>
      <c r="T19"/>
    </row>
    <row r="20" spans="2:20" ht="14.4" customHeight="1" x14ac:dyDescent="0.35">
      <c r="B20" s="596"/>
      <c r="C20" s="20"/>
      <c r="D20" s="29"/>
      <c r="E20" s="30"/>
      <c r="F20" s="610"/>
      <c r="G20" s="18" t="s">
        <v>48</v>
      </c>
      <c r="H20" s="40">
        <v>11500000</v>
      </c>
      <c r="I20" s="71">
        <v>45651</v>
      </c>
      <c r="J20" s="28">
        <v>12500000</v>
      </c>
      <c r="O20" s="113" t="s">
        <v>68</v>
      </c>
      <c r="P20" s="119">
        <v>1.1499999999999999</v>
      </c>
      <c r="Q20" s="4"/>
      <c r="R20" s="4"/>
      <c r="T20"/>
    </row>
    <row r="21" spans="2:20" ht="14.4" customHeight="1" x14ac:dyDescent="0.35">
      <c r="B21" s="596"/>
      <c r="C21" s="20"/>
      <c r="D21" s="29"/>
      <c r="E21" s="30"/>
      <c r="F21" s="610"/>
      <c r="G21" s="18" t="s">
        <v>49</v>
      </c>
      <c r="H21" s="40">
        <v>30000000</v>
      </c>
      <c r="I21" s="71"/>
      <c r="J21" s="28"/>
      <c r="O21" s="113" t="s">
        <v>69</v>
      </c>
      <c r="P21" s="119">
        <v>3</v>
      </c>
      <c r="Q21" s="4"/>
      <c r="R21" s="4"/>
      <c r="T21"/>
    </row>
    <row r="22" spans="2:20" ht="14.4" customHeight="1" x14ac:dyDescent="0.35">
      <c r="B22" s="596"/>
      <c r="C22" s="20"/>
      <c r="D22" s="29"/>
      <c r="E22" s="30"/>
      <c r="F22" s="610"/>
      <c r="G22" s="39">
        <v>45751</v>
      </c>
      <c r="H22" s="40">
        <v>2500000</v>
      </c>
      <c r="I22" s="71"/>
      <c r="J22" s="28"/>
      <c r="M22" s="4"/>
      <c r="O22" s="113" t="s">
        <v>70</v>
      </c>
      <c r="P22" s="119">
        <v>0.25</v>
      </c>
      <c r="Q22" s="4"/>
      <c r="R22" s="4"/>
      <c r="T22"/>
    </row>
    <row r="23" spans="2:20" ht="14.4" customHeight="1" x14ac:dyDescent="0.35">
      <c r="B23" s="596"/>
      <c r="C23" s="20"/>
      <c r="D23" s="29"/>
      <c r="E23" s="30"/>
      <c r="F23" s="610"/>
      <c r="G23" s="39">
        <v>45785</v>
      </c>
      <c r="H23" s="40">
        <v>11000000</v>
      </c>
      <c r="I23" s="71"/>
      <c r="J23" s="28"/>
      <c r="O23" s="113" t="s">
        <v>71</v>
      </c>
      <c r="P23" s="119">
        <v>1.1000000000000001</v>
      </c>
      <c r="Q23" s="4"/>
      <c r="R23" s="4"/>
      <c r="T23"/>
    </row>
    <row r="24" spans="2:20" ht="14.4" customHeight="1" x14ac:dyDescent="0.35">
      <c r="B24" s="596"/>
      <c r="C24" s="20"/>
      <c r="D24" s="29"/>
      <c r="E24" s="30"/>
      <c r="F24" s="610"/>
      <c r="G24" s="39">
        <v>45786</v>
      </c>
      <c r="H24" s="40">
        <v>9000000</v>
      </c>
      <c r="I24" s="71"/>
      <c r="J24" s="28"/>
      <c r="O24" s="113" t="s">
        <v>72</v>
      </c>
      <c r="P24" s="119">
        <v>0.9</v>
      </c>
      <c r="Q24" s="4"/>
      <c r="R24" s="4"/>
      <c r="T24"/>
    </row>
    <row r="25" spans="2:20" ht="14.4" customHeight="1" x14ac:dyDescent="0.35">
      <c r="B25" s="596"/>
      <c r="C25" s="20"/>
      <c r="D25" s="29"/>
      <c r="E25" s="30"/>
      <c r="F25" s="610"/>
      <c r="G25" s="39">
        <v>45790</v>
      </c>
      <c r="H25" s="40">
        <v>25000000</v>
      </c>
      <c r="I25" s="71"/>
      <c r="J25" s="28"/>
      <c r="O25" s="113" t="s">
        <v>73</v>
      </c>
      <c r="P25" s="119">
        <v>2.5</v>
      </c>
      <c r="Q25" s="4"/>
      <c r="R25" s="4"/>
      <c r="T25"/>
    </row>
    <row r="26" spans="2:20" ht="14.4" customHeight="1" x14ac:dyDescent="0.35">
      <c r="B26" s="596"/>
      <c r="C26" s="20"/>
      <c r="D26" s="29"/>
      <c r="E26" s="30"/>
      <c r="F26" s="610"/>
      <c r="G26" s="39">
        <v>45791</v>
      </c>
      <c r="H26" s="40">
        <v>10000000</v>
      </c>
      <c r="I26" s="71"/>
      <c r="J26" s="28"/>
      <c r="O26" s="113" t="s">
        <v>74</v>
      </c>
      <c r="P26" s="119">
        <v>1</v>
      </c>
      <c r="Q26" s="4"/>
      <c r="R26" s="4"/>
      <c r="T26"/>
    </row>
    <row r="27" spans="2:20" ht="14.4" customHeight="1" x14ac:dyDescent="0.35">
      <c r="B27" s="596"/>
      <c r="C27" s="20"/>
      <c r="D27" s="29"/>
      <c r="E27" s="30"/>
      <c r="F27" s="610"/>
      <c r="G27" s="39">
        <v>45799</v>
      </c>
      <c r="H27" s="40">
        <v>5000000</v>
      </c>
      <c r="I27" s="71"/>
      <c r="J27" s="28"/>
      <c r="O27" s="113"/>
      <c r="P27" s="119"/>
      <c r="Q27" s="4"/>
      <c r="R27" s="4"/>
      <c r="T27"/>
    </row>
    <row r="28" spans="2:20" ht="14.4" customHeight="1" x14ac:dyDescent="0.35">
      <c r="B28" s="596"/>
      <c r="C28" s="20"/>
      <c r="D28" s="29"/>
      <c r="E28" s="30"/>
      <c r="F28" s="610"/>
      <c r="G28" s="39"/>
      <c r="H28" s="40"/>
      <c r="I28" s="155"/>
      <c r="J28" s="28"/>
      <c r="O28" s="114"/>
      <c r="P28" s="120"/>
      <c r="Q28" s="4"/>
      <c r="R28" s="4"/>
      <c r="T28"/>
    </row>
    <row r="29" spans="2:20" ht="14.4" customHeight="1" x14ac:dyDescent="0.35">
      <c r="B29" s="596"/>
      <c r="C29" s="20"/>
      <c r="D29" s="29"/>
      <c r="E29" s="30"/>
      <c r="F29" s="610"/>
      <c r="G29" s="18"/>
      <c r="H29" s="40"/>
      <c r="I29" s="155"/>
      <c r="J29" s="28"/>
      <c r="O29" s="114"/>
      <c r="P29" s="120"/>
      <c r="Q29" s="4"/>
      <c r="R29" s="4"/>
      <c r="T29"/>
    </row>
    <row r="30" spans="2:20" ht="14.4" customHeight="1" thickBot="1" x14ac:dyDescent="0.4">
      <c r="B30" s="596"/>
      <c r="C30" s="20"/>
      <c r="D30" s="29"/>
      <c r="E30" s="30"/>
      <c r="F30" s="610"/>
      <c r="G30" s="18"/>
      <c r="H30" s="40"/>
      <c r="I30" s="155"/>
      <c r="J30" s="28"/>
      <c r="O30" s="114"/>
      <c r="P30" s="120"/>
      <c r="Q30" s="4"/>
      <c r="R30" s="4"/>
      <c r="T30"/>
    </row>
    <row r="31" spans="2:20" s="48" customFormat="1" ht="16" thickBot="1" x14ac:dyDescent="0.4">
      <c r="B31" s="596"/>
      <c r="C31" s="52" t="s">
        <v>10</v>
      </c>
      <c r="D31" s="53">
        <f>SUM(D5:D15)</f>
        <v>170000000</v>
      </c>
      <c r="E31" s="54">
        <f>SUM(E5:E15)</f>
        <v>80000000</v>
      </c>
      <c r="F31" s="610"/>
      <c r="G31" s="55" t="s">
        <v>10</v>
      </c>
      <c r="H31" s="53">
        <f>SUM(H5:H30)</f>
        <v>437500000</v>
      </c>
      <c r="I31" s="156"/>
      <c r="J31" s="54">
        <f>+SUM(J5:J30)</f>
        <v>146100000</v>
      </c>
      <c r="K31" s="175"/>
      <c r="L31" s="46"/>
      <c r="M31" s="47"/>
      <c r="O31" s="115" t="s">
        <v>10</v>
      </c>
      <c r="P31" s="121">
        <f>SUM(P16:P30)</f>
        <v>17.75</v>
      </c>
      <c r="Q31" s="49"/>
      <c r="R31" s="49"/>
    </row>
    <row r="32" spans="2:20" ht="19" thickBot="1" x14ac:dyDescent="0.4">
      <c r="B32" s="42"/>
      <c r="C32" s="43"/>
      <c r="D32" s="44"/>
      <c r="E32" s="44"/>
      <c r="F32" s="610"/>
      <c r="G32" s="137"/>
      <c r="H32" s="44"/>
      <c r="I32" s="45"/>
      <c r="J32" s="106"/>
      <c r="K32" s="11"/>
      <c r="L32" s="33"/>
      <c r="O32" s="62"/>
      <c r="Q32" s="4"/>
      <c r="T32"/>
    </row>
    <row r="33" spans="2:20" s="21" customFormat="1" ht="19" thickBot="1" x14ac:dyDescent="0.5">
      <c r="B33" s="589" t="s">
        <v>52</v>
      </c>
      <c r="C33" s="590"/>
      <c r="D33" s="591"/>
      <c r="E33" s="50">
        <f>+E31+D31</f>
        <v>250000000</v>
      </c>
      <c r="F33" s="611"/>
      <c r="G33" s="589" t="s">
        <v>53</v>
      </c>
      <c r="H33" s="590"/>
      <c r="I33" s="591"/>
      <c r="J33" s="51">
        <f>+J31+H31</f>
        <v>583600000</v>
      </c>
      <c r="K33" s="176"/>
      <c r="L33" s="37"/>
      <c r="O33" s="116"/>
      <c r="P33" s="22"/>
      <c r="Q33" s="22"/>
    </row>
    <row r="34" spans="2:20" s="21" customFormat="1" ht="19" thickBot="1" x14ac:dyDescent="0.5">
      <c r="B34" s="136"/>
      <c r="C34" s="136"/>
      <c r="D34" s="136"/>
      <c r="E34" s="1"/>
      <c r="F34" s="129"/>
      <c r="G34" s="589"/>
      <c r="H34" s="590"/>
      <c r="I34" s="612"/>
      <c r="J34" s="169"/>
      <c r="K34" s="176"/>
      <c r="L34" s="37"/>
      <c r="O34" s="116"/>
      <c r="P34" s="22"/>
      <c r="Q34" s="22"/>
    </row>
    <row r="35" spans="2:20" ht="19" thickBot="1" x14ac:dyDescent="0.5">
      <c r="B35"/>
      <c r="G35" s="592" t="s">
        <v>81</v>
      </c>
      <c r="H35" s="593"/>
      <c r="I35" s="594"/>
      <c r="J35" s="158">
        <f>+J33+E33</f>
        <v>833600000</v>
      </c>
      <c r="P35"/>
      <c r="T35"/>
    </row>
    <row r="36" spans="2:20" ht="14.5" x14ac:dyDescent="0.35">
      <c r="B36"/>
      <c r="E36" s="1" t="s">
        <v>102</v>
      </c>
      <c r="P36"/>
      <c r="T36"/>
    </row>
    <row r="37" spans="2:20" ht="14.5" hidden="1" x14ac:dyDescent="0.35">
      <c r="B37"/>
      <c r="P37"/>
      <c r="T37"/>
    </row>
    <row r="38" spans="2:20" ht="16.75" hidden="1" customHeight="1" thickBot="1" x14ac:dyDescent="0.5">
      <c r="B38" s="600" t="s">
        <v>1</v>
      </c>
      <c r="C38" s="600"/>
      <c r="D38" s="600"/>
      <c r="E38" s="600"/>
      <c r="F38" s="600"/>
      <c r="G38" s="600"/>
      <c r="H38" s="600"/>
      <c r="I38" s="600"/>
      <c r="O38" s="62"/>
      <c r="P38"/>
      <c r="T38"/>
    </row>
    <row r="39" spans="2:20" s="127" customFormat="1" ht="20" hidden="1" customHeight="1" thickBot="1" x14ac:dyDescent="0.4">
      <c r="B39" s="126" t="s">
        <v>37</v>
      </c>
      <c r="C39" s="604" t="s">
        <v>4</v>
      </c>
      <c r="D39" s="605"/>
      <c r="E39" s="606"/>
      <c r="F39" s="607"/>
      <c r="G39" s="601" t="s">
        <v>5</v>
      </c>
      <c r="H39" s="602"/>
      <c r="I39" s="603"/>
      <c r="J39" s="159"/>
      <c r="K39" s="159"/>
      <c r="O39" s="128"/>
    </row>
    <row r="40" spans="2:20" s="1" customFormat="1" ht="15.65" hidden="1" customHeight="1" thickBot="1" x14ac:dyDescent="0.5">
      <c r="B40" s="165"/>
      <c r="C40" s="166" t="s">
        <v>2</v>
      </c>
      <c r="D40" s="167" t="s">
        <v>3</v>
      </c>
      <c r="E40" s="168" t="s">
        <v>10</v>
      </c>
      <c r="F40" s="608"/>
      <c r="G40" s="166" t="s">
        <v>2</v>
      </c>
      <c r="H40" s="167" t="s">
        <v>3</v>
      </c>
      <c r="I40" s="168" t="s">
        <v>10</v>
      </c>
      <c r="O40" s="62"/>
    </row>
    <row r="41" spans="2:20" hidden="1" x14ac:dyDescent="0.45">
      <c r="B41" s="161" t="s">
        <v>83</v>
      </c>
      <c r="C41" s="500">
        <f>D31</f>
        <v>170000000</v>
      </c>
      <c r="D41" s="163">
        <f>H31</f>
        <v>437500000</v>
      </c>
      <c r="E41" s="170">
        <f>C41+D41</f>
        <v>607500000</v>
      </c>
      <c r="F41" s="608"/>
      <c r="G41" s="162">
        <f>E31</f>
        <v>80000000</v>
      </c>
      <c r="H41" s="36">
        <f>J31</f>
        <v>146100000</v>
      </c>
      <c r="I41" s="164">
        <f>G41+H41</f>
        <v>226100000</v>
      </c>
      <c r="J41" s="160"/>
      <c r="O41" s="62"/>
      <c r="P41"/>
      <c r="T41"/>
    </row>
    <row r="42" spans="2:20" hidden="1" x14ac:dyDescent="0.45">
      <c r="B42" s="69" t="s">
        <v>84</v>
      </c>
      <c r="C42" s="501">
        <f>1400000+50505+1060606</f>
        <v>2511111</v>
      </c>
      <c r="D42" s="122"/>
      <c r="E42" s="171">
        <f t="shared" ref="E42:E43" si="0">C42+D42</f>
        <v>2511111</v>
      </c>
      <c r="F42" s="608"/>
      <c r="G42" s="57"/>
      <c r="H42" s="32"/>
      <c r="I42" s="58">
        <f t="shared" ref="I42:I43" si="1">G42+H42</f>
        <v>0</v>
      </c>
      <c r="J42" s="160"/>
      <c r="O42" s="62"/>
      <c r="P42"/>
      <c r="T42"/>
    </row>
    <row r="43" spans="2:20" ht="19" hidden="1" thickBot="1" x14ac:dyDescent="0.5">
      <c r="B43" s="70" t="s">
        <v>29</v>
      </c>
      <c r="C43" s="502">
        <f>7389600+10000000</f>
        <v>17389600</v>
      </c>
      <c r="D43" s="123"/>
      <c r="E43" s="172">
        <f t="shared" si="0"/>
        <v>17389600</v>
      </c>
      <c r="F43" s="608"/>
      <c r="G43" s="59">
        <v>5500000</v>
      </c>
      <c r="H43" s="34">
        <v>1450000</v>
      </c>
      <c r="I43" s="60">
        <f t="shared" si="1"/>
        <v>6950000</v>
      </c>
      <c r="J43" s="160"/>
      <c r="O43" s="62"/>
      <c r="P43"/>
      <c r="T43"/>
    </row>
    <row r="44" spans="2:20" ht="19" hidden="1" thickBot="1" x14ac:dyDescent="0.5">
      <c r="B44" s="56" t="s">
        <v>30</v>
      </c>
      <c r="C44" s="503">
        <f>+SUM(C41:C43)</f>
        <v>189900711</v>
      </c>
      <c r="D44" s="61">
        <f>+SUM(D41:D43)</f>
        <v>437500000</v>
      </c>
      <c r="E44" s="173">
        <f>+SUM(E41:E43)</f>
        <v>627400711</v>
      </c>
      <c r="F44" s="609"/>
      <c r="G44" s="61">
        <f>SUM(G41:G43)</f>
        <v>85500000</v>
      </c>
      <c r="H44" s="61">
        <f>SUM(H41:H43)</f>
        <v>147550000</v>
      </c>
      <c r="I44" s="35">
        <f>+SUM(I41:I43)</f>
        <v>233050000</v>
      </c>
      <c r="J44" s="160"/>
      <c r="O44" s="62"/>
      <c r="P44"/>
      <c r="T44"/>
    </row>
    <row r="45" spans="2:20" ht="20" hidden="1" customHeight="1" thickBot="1" x14ac:dyDescent="0.4">
      <c r="B45"/>
      <c r="P45"/>
      <c r="T45"/>
    </row>
    <row r="46" spans="2:20" ht="20" hidden="1" customHeight="1" thickBot="1" x14ac:dyDescent="0.5">
      <c r="G46" s="584" t="s">
        <v>75</v>
      </c>
      <c r="H46" s="585"/>
      <c r="I46" s="141">
        <f>+E44+I44</f>
        <v>860450711</v>
      </c>
      <c r="P46"/>
      <c r="T46"/>
    </row>
    <row r="47" spans="2:20" ht="20" hidden="1" customHeight="1" x14ac:dyDescent="0.35">
      <c r="B47"/>
      <c r="P47"/>
      <c r="T47"/>
    </row>
    <row r="48" spans="2:20" ht="20" customHeight="1" thickBot="1" x14ac:dyDescent="0.5">
      <c r="B48" s="614" t="s">
        <v>103</v>
      </c>
      <c r="C48" s="614"/>
      <c r="D48" s="614"/>
      <c r="P48"/>
      <c r="T48"/>
    </row>
    <row r="49" spans="2:22" ht="19" thickBot="1" x14ac:dyDescent="0.5">
      <c r="B49" s="24" t="s">
        <v>40</v>
      </c>
      <c r="C49" s="504" t="s">
        <v>39</v>
      </c>
      <c r="D49" s="124" t="s">
        <v>38</v>
      </c>
      <c r="E49" s="160"/>
      <c r="F49" s="33"/>
      <c r="G49" s="33"/>
      <c r="H49" s="33"/>
      <c r="I49" s="33"/>
      <c r="J49" s="160"/>
      <c r="U49" s="4"/>
      <c r="V49" s="4"/>
    </row>
    <row r="50" spans="2:22" s="87" customFormat="1" ht="37" x14ac:dyDescent="0.35">
      <c r="B50" s="516" t="s">
        <v>31</v>
      </c>
      <c r="C50" s="72">
        <v>850000000</v>
      </c>
      <c r="D50" s="517" t="s">
        <v>46</v>
      </c>
      <c r="E50" s="518"/>
      <c r="F50" s="519"/>
      <c r="G50" s="520"/>
      <c r="H50" s="519"/>
      <c r="I50" s="519"/>
      <c r="J50" s="518"/>
      <c r="K50" s="14"/>
      <c r="O50" s="14"/>
      <c r="P50" s="88"/>
      <c r="T50" s="88"/>
      <c r="U50" s="88"/>
      <c r="V50" s="88"/>
    </row>
    <row r="51" spans="2:22" x14ac:dyDescent="0.45">
      <c r="B51" s="31"/>
      <c r="C51" s="163"/>
      <c r="D51" s="125"/>
      <c r="E51" s="160"/>
      <c r="F51" s="33"/>
      <c r="G51" s="37"/>
      <c r="H51" s="33"/>
      <c r="I51" s="33"/>
      <c r="J51" s="160"/>
      <c r="U51" s="4"/>
      <c r="V51" s="4"/>
    </row>
    <row r="52" spans="2:22" ht="19.25" customHeight="1" x14ac:dyDescent="0.45">
      <c r="B52" s="138" t="s">
        <v>85</v>
      </c>
      <c r="C52" s="122">
        <f>+E33</f>
        <v>250000000</v>
      </c>
      <c r="D52" s="125" t="s">
        <v>46</v>
      </c>
      <c r="E52" s="160"/>
      <c r="F52" s="33"/>
      <c r="G52" s="37"/>
      <c r="H52" s="33"/>
      <c r="I52" s="33"/>
      <c r="J52" s="160"/>
      <c r="U52" s="4"/>
      <c r="V52" s="4"/>
    </row>
    <row r="53" spans="2:22" ht="19.25" customHeight="1" x14ac:dyDescent="0.45">
      <c r="B53" s="139" t="s">
        <v>86</v>
      </c>
      <c r="C53" s="123">
        <f>+J33</f>
        <v>583600000</v>
      </c>
      <c r="D53" s="140"/>
      <c r="E53" s="160"/>
      <c r="F53" s="33"/>
      <c r="G53" s="37"/>
      <c r="H53" s="33"/>
      <c r="I53" s="33"/>
      <c r="J53" s="160"/>
      <c r="U53" s="4"/>
      <c r="V53" s="4"/>
    </row>
    <row r="54" spans="2:22" ht="19.25" customHeight="1" x14ac:dyDescent="0.45">
      <c r="B54" s="139" t="s">
        <v>87</v>
      </c>
      <c r="C54" s="123">
        <f>+C42</f>
        <v>2511111</v>
      </c>
      <c r="D54" s="140"/>
      <c r="E54" s="160"/>
      <c r="F54" s="33"/>
      <c r="G54" s="37"/>
      <c r="H54" s="33"/>
      <c r="I54" s="33"/>
      <c r="J54" s="160"/>
      <c r="U54" s="4"/>
      <c r="V54" s="4"/>
    </row>
    <row r="55" spans="2:22" ht="19.25" customHeight="1" thickBot="1" x14ac:dyDescent="0.5">
      <c r="B55" s="139"/>
      <c r="C55" s="123"/>
      <c r="D55" s="140"/>
      <c r="E55" s="160"/>
      <c r="F55" s="33"/>
      <c r="G55" s="37"/>
      <c r="H55" s="33"/>
      <c r="I55" s="33"/>
      <c r="J55" s="160"/>
      <c r="U55" s="4"/>
      <c r="V55" s="4"/>
    </row>
    <row r="56" spans="2:22" ht="19.25" customHeight="1" thickBot="1" x14ac:dyDescent="0.5">
      <c r="B56" s="24" t="s">
        <v>88</v>
      </c>
      <c r="C56" s="505">
        <f>SUM(C52:C55)</f>
        <v>836111111</v>
      </c>
      <c r="D56" s="124"/>
      <c r="E56" s="160"/>
      <c r="F56" s="33"/>
      <c r="G56" s="37"/>
      <c r="H56" s="33"/>
      <c r="I56" s="33"/>
      <c r="J56" s="160"/>
      <c r="U56" s="4"/>
      <c r="V56" s="4"/>
    </row>
    <row r="57" spans="2:22" ht="19.25" customHeight="1" thickBot="1" x14ac:dyDescent="0.5">
      <c r="B57" s="615"/>
      <c r="C57" s="616"/>
      <c r="D57" s="617"/>
      <c r="E57" s="160"/>
      <c r="F57" s="33"/>
      <c r="G57" s="37"/>
      <c r="H57" s="33"/>
      <c r="I57" s="33"/>
      <c r="J57" s="160"/>
      <c r="U57" s="4"/>
      <c r="V57" s="4"/>
    </row>
    <row r="58" spans="2:22" s="87" customFormat="1" ht="37.5" thickBot="1" x14ac:dyDescent="0.4">
      <c r="B58" s="521" t="s">
        <v>89</v>
      </c>
      <c r="C58" s="542">
        <f>+C50-C56</f>
        <v>13888889</v>
      </c>
      <c r="D58" s="543" t="s">
        <v>305</v>
      </c>
      <c r="E58" s="518"/>
      <c r="F58" s="519"/>
      <c r="G58" s="520"/>
      <c r="H58" s="519"/>
      <c r="I58" s="519"/>
      <c r="J58" s="518"/>
      <c r="K58" s="14"/>
      <c r="O58" s="14"/>
      <c r="P58" s="88"/>
      <c r="T58" s="88"/>
      <c r="U58" s="88"/>
      <c r="V58" s="88"/>
    </row>
    <row r="59" spans="2:22" ht="19" customHeight="1" x14ac:dyDescent="0.35">
      <c r="B59" s="547" t="s">
        <v>29</v>
      </c>
      <c r="C59" s="548">
        <f>C58*0.1</f>
        <v>1388888.9000000001</v>
      </c>
      <c r="D59" s="547" t="s">
        <v>305</v>
      </c>
      <c r="O59"/>
      <c r="P59"/>
      <c r="T59"/>
    </row>
    <row r="60" spans="2:22" ht="19" customHeight="1" x14ac:dyDescent="0.35">
      <c r="B60" s="544" t="s">
        <v>297</v>
      </c>
      <c r="C60" s="545">
        <v>2000000</v>
      </c>
      <c r="D60" s="544" t="s">
        <v>306</v>
      </c>
      <c r="O60"/>
      <c r="P60"/>
      <c r="T60"/>
    </row>
    <row r="61" spans="2:22" ht="31" x14ac:dyDescent="0.35">
      <c r="B61" s="546" t="s">
        <v>307</v>
      </c>
      <c r="C61" s="545"/>
      <c r="D61" s="544" t="s">
        <v>306</v>
      </c>
      <c r="O61"/>
      <c r="P61"/>
      <c r="T61"/>
    </row>
    <row r="62" spans="2:22" ht="19" customHeight="1" x14ac:dyDescent="0.35">
      <c r="B62" s="544" t="s">
        <v>308</v>
      </c>
      <c r="C62" s="545"/>
      <c r="D62" s="544" t="s">
        <v>306</v>
      </c>
      <c r="O62"/>
      <c r="P62"/>
      <c r="T62"/>
    </row>
    <row r="63" spans="2:22" ht="31" x14ac:dyDescent="0.35">
      <c r="B63" s="546" t="s">
        <v>309</v>
      </c>
      <c r="C63" s="545">
        <v>2500000</v>
      </c>
      <c r="D63" s="544" t="s">
        <v>306</v>
      </c>
      <c r="O63"/>
      <c r="P63"/>
      <c r="T63"/>
    </row>
    <row r="64" spans="2:22" ht="19" customHeight="1" x14ac:dyDescent="0.35">
      <c r="B64"/>
      <c r="D64"/>
      <c r="O64"/>
      <c r="P64"/>
      <c r="T64"/>
    </row>
    <row r="65" spans="2:22" ht="19" customHeight="1" x14ac:dyDescent="0.35">
      <c r="B65"/>
      <c r="D65"/>
      <c r="O65"/>
      <c r="P65"/>
      <c r="T65"/>
    </row>
    <row r="66" spans="2:22" ht="19" customHeight="1" x14ac:dyDescent="0.35">
      <c r="B66"/>
      <c r="D66"/>
      <c r="O66"/>
      <c r="P66"/>
      <c r="T66"/>
    </row>
    <row r="67" spans="2:22" ht="19" customHeight="1" x14ac:dyDescent="0.35">
      <c r="B67"/>
      <c r="D67"/>
      <c r="O67"/>
      <c r="P67"/>
      <c r="T67"/>
    </row>
    <row r="68" spans="2:22" ht="19" customHeight="1" x14ac:dyDescent="0.35">
      <c r="B68"/>
      <c r="D68"/>
      <c r="O68"/>
      <c r="P68"/>
      <c r="T68"/>
    </row>
    <row r="69" spans="2:22" ht="20" customHeight="1" x14ac:dyDescent="0.35">
      <c r="B69" s="142" t="s">
        <v>90</v>
      </c>
      <c r="C69" s="506">
        <f>+C43+I43</f>
        <v>24339600</v>
      </c>
      <c r="D69"/>
      <c r="O69"/>
      <c r="P69"/>
      <c r="T69"/>
    </row>
    <row r="70" spans="2:22" ht="14.5" x14ac:dyDescent="0.35">
      <c r="B70"/>
      <c r="C70" s="160"/>
      <c r="D70"/>
      <c r="O70"/>
      <c r="P70"/>
      <c r="T70"/>
    </row>
    <row r="71" spans="2:22" ht="19" thickBot="1" x14ac:dyDescent="0.5">
      <c r="B71" s="22"/>
      <c r="C71" s="424"/>
      <c r="U71" s="4"/>
      <c r="V71" s="4"/>
    </row>
    <row r="72" spans="2:22" ht="19" thickBot="1" x14ac:dyDescent="0.4">
      <c r="B72" s="595" t="s">
        <v>50</v>
      </c>
      <c r="C72" s="595"/>
      <c r="D72" s="595"/>
      <c r="E72" s="595"/>
      <c r="F72" s="66"/>
      <c r="H72" s="581" t="s">
        <v>33</v>
      </c>
      <c r="I72" s="582"/>
      <c r="J72" s="582"/>
      <c r="K72" s="583"/>
      <c r="U72" s="4"/>
      <c r="V72" s="4"/>
    </row>
    <row r="73" spans="2:22" ht="14.5" x14ac:dyDescent="0.35">
      <c r="B73" s="63"/>
      <c r="C73" s="23" t="s">
        <v>2</v>
      </c>
      <c r="D73" s="23" t="s">
        <v>3</v>
      </c>
      <c r="E73" s="64" t="s">
        <v>10</v>
      </c>
      <c r="F73" s="67"/>
      <c r="H73" s="575" t="s">
        <v>40</v>
      </c>
      <c r="I73" s="576"/>
      <c r="J73" s="174" t="s">
        <v>92</v>
      </c>
      <c r="K73" s="143" t="s">
        <v>101</v>
      </c>
      <c r="U73" s="4"/>
      <c r="V73" s="4"/>
    </row>
    <row r="74" spans="2:22" ht="14.5" x14ac:dyDescent="0.35">
      <c r="B74" s="63" t="s">
        <v>6</v>
      </c>
      <c r="C74" s="27">
        <v>7000000</v>
      </c>
      <c r="D74" s="27">
        <f>40000000+2500000+4131000+4243200+13875000+6240000+2025000+8451000</f>
        <v>81465200</v>
      </c>
      <c r="E74" s="65">
        <f>+C74+D74</f>
        <v>88465200</v>
      </c>
      <c r="F74" s="41"/>
      <c r="H74" s="577" t="s">
        <v>32</v>
      </c>
      <c r="I74" s="578"/>
      <c r="J74" s="27">
        <v>495262</v>
      </c>
      <c r="K74" s="13">
        <v>495262</v>
      </c>
      <c r="U74" s="4"/>
      <c r="V74" s="4"/>
    </row>
    <row r="75" spans="2:22" ht="14.5" x14ac:dyDescent="0.35">
      <c r="B75" s="63" t="s">
        <v>42</v>
      </c>
      <c r="C75" s="27"/>
      <c r="D75" s="27">
        <v>16000000</v>
      </c>
      <c r="E75" s="65">
        <f t="shared" ref="E75:E79" si="2">+C75+D75</f>
        <v>16000000</v>
      </c>
      <c r="F75" s="41"/>
      <c r="H75" s="577" t="s">
        <v>25</v>
      </c>
      <c r="I75" s="578"/>
      <c r="J75" s="27">
        <v>287000</v>
      </c>
      <c r="K75" s="13">
        <v>287000</v>
      </c>
      <c r="U75" s="4"/>
      <c r="V75" s="4"/>
    </row>
    <row r="76" spans="2:22" ht="14.5" x14ac:dyDescent="0.35">
      <c r="B76" s="63" t="s">
        <v>41</v>
      </c>
      <c r="C76" s="27"/>
      <c r="D76" s="27">
        <v>3500000</v>
      </c>
      <c r="E76" s="65">
        <f t="shared" si="2"/>
        <v>3500000</v>
      </c>
      <c r="F76" s="41"/>
      <c r="H76" s="577" t="s">
        <v>26</v>
      </c>
      <c r="I76" s="578"/>
      <c r="J76" s="27">
        <v>4481320</v>
      </c>
      <c r="K76" s="13">
        <v>4531320</v>
      </c>
      <c r="U76" s="4"/>
      <c r="V76" s="4"/>
    </row>
    <row r="77" spans="2:22" ht="14.5" x14ac:dyDescent="0.35">
      <c r="B77" s="63" t="s">
        <v>23</v>
      </c>
      <c r="C77" s="27">
        <v>0</v>
      </c>
      <c r="D77" s="27">
        <v>0</v>
      </c>
      <c r="E77" s="65">
        <f t="shared" si="2"/>
        <v>0</v>
      </c>
      <c r="F77" s="41"/>
      <c r="H77" s="577" t="s">
        <v>27</v>
      </c>
      <c r="I77" s="578"/>
      <c r="J77" s="27">
        <v>142000</v>
      </c>
      <c r="K77" s="13">
        <v>142000</v>
      </c>
      <c r="U77" s="4"/>
      <c r="V77" s="4"/>
    </row>
    <row r="78" spans="2:22" ht="14.5" x14ac:dyDescent="0.35">
      <c r="B78" s="63" t="s">
        <v>7</v>
      </c>
      <c r="C78" s="27">
        <v>17500</v>
      </c>
      <c r="D78" s="27">
        <v>0</v>
      </c>
      <c r="E78" s="65">
        <f t="shared" si="2"/>
        <v>17500</v>
      </c>
      <c r="F78" s="41"/>
      <c r="H78" s="577" t="s">
        <v>28</v>
      </c>
      <c r="I78" s="578"/>
      <c r="J78" s="27">
        <v>2500000</v>
      </c>
      <c r="K78" s="13">
        <v>0</v>
      </c>
      <c r="U78" s="4"/>
      <c r="V78" s="4"/>
    </row>
    <row r="79" spans="2:22" ht="14.5" x14ac:dyDescent="0.35">
      <c r="B79" s="63" t="s">
        <v>24</v>
      </c>
      <c r="C79" s="27">
        <v>0</v>
      </c>
      <c r="D79" s="27">
        <f>495262+287000+4481320+142000+2500000</f>
        <v>7905582</v>
      </c>
      <c r="E79" s="65">
        <f t="shared" si="2"/>
        <v>7905582</v>
      </c>
      <c r="F79" s="41"/>
      <c r="H79" s="577" t="s">
        <v>91</v>
      </c>
      <c r="I79" s="578"/>
      <c r="J79" s="27"/>
      <c r="K79" s="13">
        <v>553000</v>
      </c>
      <c r="U79" s="4"/>
      <c r="V79" s="4"/>
    </row>
    <row r="80" spans="2:22" ht="15" thickBot="1" x14ac:dyDescent="0.4">
      <c r="B80" s="63" t="s">
        <v>35</v>
      </c>
      <c r="C80" s="27">
        <f>SUM(C74:C79)</f>
        <v>7017500</v>
      </c>
      <c r="D80" s="27">
        <f>SUM(D74:D79)</f>
        <v>108870782</v>
      </c>
      <c r="E80" s="65">
        <f>+C80+D80</f>
        <v>115888282</v>
      </c>
      <c r="F80" s="41"/>
      <c r="H80" s="579"/>
      <c r="I80" s="580"/>
      <c r="J80" s="29"/>
      <c r="K80" s="177"/>
      <c r="U80" s="4"/>
      <c r="V80" s="4"/>
    </row>
    <row r="81" spans="2:22" ht="29.5" thickBot="1" x14ac:dyDescent="0.4">
      <c r="B81" s="108" t="s">
        <v>43</v>
      </c>
      <c r="C81" s="109">
        <v>0</v>
      </c>
      <c r="D81" s="110">
        <v>8000000</v>
      </c>
      <c r="E81" s="111">
        <f>+C81+D81</f>
        <v>8000000</v>
      </c>
      <c r="F81" s="68"/>
      <c r="H81" s="573" t="s">
        <v>10</v>
      </c>
      <c r="I81" s="574"/>
      <c r="J81" s="144">
        <f>SUM(J74:J80)</f>
        <v>7905582</v>
      </c>
      <c r="K81" s="145">
        <f>SUM(K74:K80)</f>
        <v>6008582</v>
      </c>
      <c r="U81" s="4"/>
      <c r="V81" s="4"/>
    </row>
    <row r="82" spans="2:22" x14ac:dyDescent="0.45">
      <c r="B82" s="22"/>
      <c r="C82" s="424"/>
      <c r="U82" s="4"/>
      <c r="V82" s="4"/>
    </row>
    <row r="84" spans="2:22" x14ac:dyDescent="0.45">
      <c r="B84" s="22" t="s">
        <v>44</v>
      </c>
      <c r="C84" s="507">
        <f>E44</f>
        <v>627400711</v>
      </c>
    </row>
    <row r="85" spans="2:22" x14ac:dyDescent="0.45">
      <c r="B85" s="22" t="s">
        <v>45</v>
      </c>
      <c r="C85" s="507">
        <f>I44+E80</f>
        <v>348938282</v>
      </c>
    </row>
    <row r="88" spans="2:22" ht="19" thickBot="1" x14ac:dyDescent="0.5">
      <c r="B88" s="600" t="s">
        <v>111</v>
      </c>
      <c r="C88" s="600"/>
      <c r="D88" s="600"/>
      <c r="E88" s="600"/>
      <c r="F88" s="600"/>
      <c r="G88" s="600"/>
    </row>
    <row r="89" spans="2:22" s="87" customFormat="1" ht="56" thickBot="1" x14ac:dyDescent="0.4">
      <c r="B89" s="187" t="s">
        <v>54</v>
      </c>
      <c r="C89" s="188" t="s">
        <v>95</v>
      </c>
      <c r="D89" s="189" t="s">
        <v>55</v>
      </c>
      <c r="E89" s="189" t="s">
        <v>56</v>
      </c>
      <c r="F89" s="190" t="s">
        <v>29</v>
      </c>
      <c r="G89" s="191" t="s">
        <v>10</v>
      </c>
      <c r="J89" s="14"/>
      <c r="K89" s="14"/>
      <c r="P89" s="14"/>
      <c r="Q89" s="88"/>
      <c r="U89" s="88"/>
    </row>
    <row r="90" spans="2:22" x14ac:dyDescent="0.45">
      <c r="B90" s="151" t="s">
        <v>36</v>
      </c>
      <c r="C90" s="147"/>
      <c r="D90" s="78">
        <v>7000000</v>
      </c>
      <c r="E90" s="78">
        <v>40000000</v>
      </c>
      <c r="F90" s="89">
        <v>0</v>
      </c>
      <c r="G90" s="92">
        <f>+SUM(D90:F90)</f>
        <v>47000000</v>
      </c>
      <c r="O90"/>
      <c r="P90" s="1"/>
      <c r="Q90" s="4"/>
      <c r="T90"/>
      <c r="U90" s="4"/>
    </row>
    <row r="91" spans="2:22" x14ac:dyDescent="0.45">
      <c r="B91" s="152" t="s">
        <v>93</v>
      </c>
      <c r="C91" s="148">
        <v>316</v>
      </c>
      <c r="D91" s="73">
        <v>0</v>
      </c>
      <c r="E91" s="73">
        <v>2500000</v>
      </c>
      <c r="F91" s="90">
        <v>2500</v>
      </c>
      <c r="G91" s="93">
        <f t="shared" ref="G91:G97" si="3">+SUM(D91:F91)</f>
        <v>2502500</v>
      </c>
      <c r="O91"/>
      <c r="P91" s="1"/>
      <c r="Q91" s="4"/>
      <c r="T91"/>
      <c r="U91" s="4"/>
    </row>
    <row r="92" spans="2:22" x14ac:dyDescent="0.45">
      <c r="B92" s="152" t="s">
        <v>94</v>
      </c>
      <c r="C92" s="148">
        <v>405</v>
      </c>
      <c r="D92" s="73">
        <v>0</v>
      </c>
      <c r="E92" s="73">
        <v>4131000</v>
      </c>
      <c r="F92" s="90">
        <v>2500</v>
      </c>
      <c r="G92" s="93">
        <f t="shared" si="3"/>
        <v>4133500</v>
      </c>
      <c r="O92"/>
      <c r="P92" s="1"/>
      <c r="Q92" s="4"/>
      <c r="T92"/>
      <c r="U92" s="4"/>
    </row>
    <row r="93" spans="2:22" x14ac:dyDescent="0.45">
      <c r="B93" s="152" t="s">
        <v>96</v>
      </c>
      <c r="C93" s="148">
        <v>416</v>
      </c>
      <c r="D93" s="73">
        <v>0</v>
      </c>
      <c r="E93" s="73">
        <v>4243200</v>
      </c>
      <c r="F93" s="90">
        <v>2500</v>
      </c>
      <c r="G93" s="93">
        <f t="shared" si="3"/>
        <v>4245700</v>
      </c>
      <c r="O93"/>
      <c r="P93" s="1"/>
      <c r="Q93" s="4"/>
      <c r="T93"/>
      <c r="U93" s="4"/>
    </row>
    <row r="94" spans="2:22" x14ac:dyDescent="0.45">
      <c r="B94" s="152" t="s">
        <v>97</v>
      </c>
      <c r="C94" s="148">
        <v>250</v>
      </c>
      <c r="D94" s="73">
        <v>0</v>
      </c>
      <c r="E94" s="73">
        <v>13875000</v>
      </c>
      <c r="F94" s="90">
        <v>2500</v>
      </c>
      <c r="G94" s="93">
        <f t="shared" si="3"/>
        <v>13877500</v>
      </c>
      <c r="O94"/>
      <c r="P94" s="1"/>
      <c r="Q94" s="4"/>
      <c r="T94"/>
      <c r="U94" s="4"/>
    </row>
    <row r="95" spans="2:22" x14ac:dyDescent="0.45">
      <c r="B95" s="152" t="s">
        <v>98</v>
      </c>
      <c r="C95" s="148">
        <v>260</v>
      </c>
      <c r="D95" s="73">
        <v>0</v>
      </c>
      <c r="E95" s="73">
        <v>6240000</v>
      </c>
      <c r="F95" s="90">
        <v>2500</v>
      </c>
      <c r="G95" s="93">
        <f t="shared" si="3"/>
        <v>6242500</v>
      </c>
      <c r="O95"/>
      <c r="P95" s="1"/>
      <c r="Q95" s="4"/>
      <c r="T95"/>
      <c r="U95" s="4"/>
    </row>
    <row r="96" spans="2:22" x14ac:dyDescent="0.45">
      <c r="B96" s="152" t="s">
        <v>99</v>
      </c>
      <c r="C96" s="148">
        <v>225</v>
      </c>
      <c r="D96" s="73">
        <v>0</v>
      </c>
      <c r="E96" s="73">
        <v>2025000</v>
      </c>
      <c r="F96" s="90">
        <v>2500</v>
      </c>
      <c r="G96" s="93">
        <f t="shared" si="3"/>
        <v>2027500</v>
      </c>
      <c r="O96"/>
      <c r="P96" s="1"/>
      <c r="Q96" s="4"/>
      <c r="T96"/>
      <c r="U96" s="4"/>
    </row>
    <row r="97" spans="2:21" x14ac:dyDescent="0.45">
      <c r="B97" s="152" t="s">
        <v>100</v>
      </c>
      <c r="C97" s="148">
        <v>365</v>
      </c>
      <c r="D97" s="73">
        <v>0</v>
      </c>
      <c r="E97" s="73">
        <v>8451000</v>
      </c>
      <c r="F97" s="90">
        <v>2500</v>
      </c>
      <c r="G97" s="93">
        <f t="shared" si="3"/>
        <v>8453500</v>
      </c>
      <c r="O97"/>
      <c r="P97" s="1"/>
      <c r="Q97" s="4"/>
      <c r="T97"/>
      <c r="U97" s="4"/>
    </row>
    <row r="98" spans="2:21" x14ac:dyDescent="0.45">
      <c r="B98" s="152" t="s">
        <v>61</v>
      </c>
      <c r="C98" s="148"/>
      <c r="D98" s="12"/>
      <c r="E98" s="73">
        <v>16000000</v>
      </c>
      <c r="F98" s="90"/>
      <c r="G98" s="93">
        <f>+SUM(D98:F98)</f>
        <v>16000000</v>
      </c>
      <c r="O98"/>
      <c r="P98" s="1"/>
      <c r="Q98" s="4"/>
      <c r="T98"/>
      <c r="U98" s="4"/>
    </row>
    <row r="99" spans="2:21" s="87" customFormat="1" ht="55.5" x14ac:dyDescent="0.35">
      <c r="B99" s="153" t="s">
        <v>63</v>
      </c>
      <c r="C99" s="508"/>
      <c r="D99" s="86"/>
      <c r="E99" s="19">
        <v>3500000</v>
      </c>
      <c r="F99" s="102"/>
      <c r="G99" s="103">
        <f>+SUM(D99:F99)</f>
        <v>3500000</v>
      </c>
      <c r="H99" s="88"/>
      <c r="I99"/>
      <c r="J99" s="1"/>
      <c r="K99" s="1"/>
      <c r="L99"/>
      <c r="P99" s="14"/>
      <c r="Q99" s="88"/>
      <c r="U99" s="88"/>
    </row>
    <row r="100" spans="2:21" ht="19" thickBot="1" x14ac:dyDescent="0.5">
      <c r="B100" s="154"/>
      <c r="C100" s="149"/>
      <c r="D100" s="80"/>
      <c r="E100" s="80"/>
      <c r="F100" s="91"/>
      <c r="G100" s="94"/>
      <c r="O100"/>
      <c r="P100" s="1"/>
      <c r="Q100" s="4"/>
      <c r="T100"/>
      <c r="U100" s="4"/>
    </row>
    <row r="101" spans="2:21" s="21" customFormat="1" ht="19" thickBot="1" x14ac:dyDescent="0.5">
      <c r="B101" s="79" t="s">
        <v>8</v>
      </c>
      <c r="C101" s="146"/>
      <c r="D101" s="104">
        <f>SUM(D90:D100)</f>
        <v>7000000</v>
      </c>
      <c r="E101" s="104">
        <f>SUM(E90:E100)</f>
        <v>100965200</v>
      </c>
      <c r="F101" s="105">
        <f>SUM(F90:F100)</f>
        <v>17500</v>
      </c>
      <c r="G101" s="99">
        <f>SUM(G90:G100)</f>
        <v>107982700</v>
      </c>
      <c r="I101" s="87"/>
      <c r="J101" s="14"/>
      <c r="K101" s="14"/>
      <c r="L101" s="87"/>
      <c r="P101" s="117"/>
      <c r="Q101" s="22"/>
      <c r="U101" s="22"/>
    </row>
    <row r="102" spans="2:21" ht="19" thickBot="1" x14ac:dyDescent="0.5">
      <c r="B102" s="101"/>
      <c r="C102" s="117"/>
      <c r="D102"/>
      <c r="F102" s="1"/>
      <c r="G102" s="106"/>
      <c r="O102"/>
      <c r="P102" s="1"/>
      <c r="Q102" s="4"/>
      <c r="T102"/>
      <c r="U102" s="4"/>
    </row>
    <row r="103" spans="2:21" x14ac:dyDescent="0.45">
      <c r="B103" s="81" t="s">
        <v>57</v>
      </c>
      <c r="C103" s="509"/>
      <c r="D103" s="82"/>
      <c r="E103" s="74">
        <v>495262</v>
      </c>
      <c r="F103" s="74"/>
      <c r="G103" s="75">
        <f>+SUM(D103:F103)</f>
        <v>495262</v>
      </c>
      <c r="I103" s="21"/>
      <c r="J103" s="117"/>
      <c r="K103" s="117"/>
      <c r="L103" s="21"/>
      <c r="O103"/>
      <c r="P103" s="1"/>
      <c r="Q103" s="4"/>
      <c r="T103"/>
      <c r="U103" s="4"/>
    </row>
    <row r="104" spans="2:21" x14ac:dyDescent="0.45">
      <c r="B104" s="83" t="s">
        <v>58</v>
      </c>
      <c r="C104" s="148"/>
      <c r="D104" s="12"/>
      <c r="E104" s="73">
        <v>287000</v>
      </c>
      <c r="F104" s="73"/>
      <c r="G104" s="13">
        <f t="shared" ref="G104:G107" si="4">+SUM(D104:F104)</f>
        <v>287000</v>
      </c>
      <c r="O104"/>
      <c r="P104" s="1"/>
      <c r="Q104" s="4"/>
      <c r="T104"/>
      <c r="U104" s="4"/>
    </row>
    <row r="105" spans="2:21" x14ac:dyDescent="0.45">
      <c r="B105" s="83" t="s">
        <v>59</v>
      </c>
      <c r="C105" s="148"/>
      <c r="D105" s="12"/>
      <c r="E105" s="73">
        <v>4531320</v>
      </c>
      <c r="F105" s="73"/>
      <c r="G105" s="13">
        <f t="shared" si="4"/>
        <v>4531320</v>
      </c>
      <c r="O105"/>
      <c r="P105" s="1"/>
      <c r="Q105" s="4"/>
      <c r="T105"/>
      <c r="U105" s="4"/>
    </row>
    <row r="106" spans="2:21" x14ac:dyDescent="0.45">
      <c r="B106" s="83" t="s">
        <v>60</v>
      </c>
      <c r="C106" s="148"/>
      <c r="D106" s="12"/>
      <c r="E106" s="73">
        <v>142000</v>
      </c>
      <c r="F106" s="73"/>
      <c r="G106" s="13">
        <f t="shared" si="4"/>
        <v>142000</v>
      </c>
      <c r="O106"/>
      <c r="P106" s="1"/>
      <c r="Q106" s="4"/>
      <c r="T106"/>
      <c r="U106" s="4"/>
    </row>
    <row r="107" spans="2:21" x14ac:dyDescent="0.45">
      <c r="B107" s="83" t="s">
        <v>110</v>
      </c>
      <c r="C107" s="149"/>
      <c r="D107" s="182"/>
      <c r="E107" s="80">
        <v>553000</v>
      </c>
      <c r="F107" s="80"/>
      <c r="G107" s="177">
        <f t="shared" si="4"/>
        <v>553000</v>
      </c>
      <c r="O107"/>
      <c r="P107" s="1"/>
      <c r="Q107" s="4"/>
      <c r="T107"/>
      <c r="U107" s="4"/>
    </row>
    <row r="108" spans="2:21" x14ac:dyDescent="0.45">
      <c r="B108" s="83" t="s">
        <v>28</v>
      </c>
      <c r="C108" s="148"/>
      <c r="D108" s="12"/>
      <c r="E108" s="73">
        <v>2500000</v>
      </c>
      <c r="F108" s="73"/>
      <c r="G108" s="13">
        <f>+SUM(D108:F108)</f>
        <v>2500000</v>
      </c>
      <c r="O108"/>
      <c r="P108" s="1"/>
      <c r="Q108" s="4"/>
      <c r="T108"/>
      <c r="U108" s="4"/>
    </row>
    <row r="109" spans="2:21" x14ac:dyDescent="0.45">
      <c r="B109" s="192" t="s">
        <v>247</v>
      </c>
      <c r="C109" s="149"/>
      <c r="D109" s="182"/>
      <c r="E109" s="80">
        <v>2500000</v>
      </c>
      <c r="F109" s="80"/>
      <c r="G109" s="177">
        <f>+SUM(D109:F109)</f>
        <v>2500000</v>
      </c>
      <c r="O109"/>
      <c r="P109" s="1"/>
      <c r="Q109" s="4"/>
      <c r="T109"/>
      <c r="U109" s="4"/>
    </row>
    <row r="110" spans="2:21" x14ac:dyDescent="0.45">
      <c r="B110" s="192"/>
      <c r="C110" s="149"/>
      <c r="D110" s="182"/>
      <c r="E110" s="80"/>
      <c r="F110" s="80"/>
      <c r="G110" s="177"/>
      <c r="O110"/>
      <c r="P110" s="1"/>
      <c r="Q110" s="4"/>
      <c r="T110"/>
      <c r="U110" s="4"/>
    </row>
    <row r="111" spans="2:21" ht="19" thickBot="1" x14ac:dyDescent="0.5">
      <c r="B111" s="84"/>
      <c r="C111" s="510"/>
      <c r="D111" s="85"/>
      <c r="E111" s="76"/>
      <c r="F111" s="76"/>
      <c r="G111" s="77"/>
      <c r="O111"/>
      <c r="P111" s="1"/>
      <c r="Q111" s="4"/>
      <c r="T111"/>
      <c r="U111" s="4"/>
    </row>
    <row r="112" spans="2:21" ht="19" thickBot="1" x14ac:dyDescent="0.5">
      <c r="B112" s="95" t="s">
        <v>10</v>
      </c>
      <c r="C112" s="150"/>
      <c r="D112" s="96"/>
      <c r="E112" s="96">
        <f>SUM(E103:E111)</f>
        <v>11008582</v>
      </c>
      <c r="F112" s="97"/>
      <c r="G112" s="98">
        <f>SUM(G103:G111)</f>
        <v>11008582</v>
      </c>
      <c r="O112"/>
      <c r="P112" s="1"/>
      <c r="Q112" s="4"/>
      <c r="T112"/>
      <c r="U112" s="4"/>
    </row>
    <row r="113" spans="1:21" ht="17" customHeight="1" thickBot="1" x14ac:dyDescent="0.5">
      <c r="B113" s="101"/>
      <c r="C113" s="117"/>
      <c r="D113"/>
      <c r="F113" s="1"/>
      <c r="G113" s="106"/>
      <c r="O113"/>
      <c r="P113" s="1"/>
      <c r="Q113" s="4"/>
      <c r="T113"/>
      <c r="U113" s="4"/>
    </row>
    <row r="114" spans="1:21" s="22" customFormat="1" ht="19" thickBot="1" x14ac:dyDescent="0.5">
      <c r="B114" s="24" t="s">
        <v>62</v>
      </c>
      <c r="C114" s="146"/>
      <c r="D114" s="100">
        <f>+D101+D112</f>
        <v>7000000</v>
      </c>
      <c r="E114" s="104">
        <f>+E101+E112</f>
        <v>111973782</v>
      </c>
      <c r="F114" s="104">
        <f>+F101+F112</f>
        <v>17500</v>
      </c>
      <c r="G114" s="107">
        <f>+G101+G112</f>
        <v>118991282</v>
      </c>
      <c r="I114"/>
      <c r="J114" s="1"/>
      <c r="K114" s="1"/>
      <c r="L114"/>
      <c r="P114" s="116"/>
    </row>
    <row r="116" spans="1:21" x14ac:dyDescent="0.45">
      <c r="H116" s="22"/>
      <c r="I116" s="22"/>
      <c r="J116" s="116"/>
      <c r="K116" s="116"/>
    </row>
    <row r="122" spans="1:21" ht="19" thickBot="1" x14ac:dyDescent="0.5"/>
    <row r="123" spans="1:21" ht="15" x14ac:dyDescent="0.35">
      <c r="A123" s="131" t="s">
        <v>77</v>
      </c>
      <c r="B123" s="132" t="s">
        <v>78</v>
      </c>
      <c r="C123" s="386">
        <v>11500000</v>
      </c>
    </row>
    <row r="124" spans="1:21" ht="15" x14ac:dyDescent="0.35">
      <c r="A124" s="133" t="s">
        <v>77</v>
      </c>
      <c r="B124" s="130" t="s">
        <v>78</v>
      </c>
      <c r="C124" s="387">
        <v>1270000</v>
      </c>
    </row>
    <row r="125" spans="1:21" ht="15" x14ac:dyDescent="0.35">
      <c r="A125" s="133" t="s">
        <v>79</v>
      </c>
      <c r="B125" s="130" t="s">
        <v>78</v>
      </c>
      <c r="C125" s="387">
        <v>119600</v>
      </c>
    </row>
    <row r="126" spans="1:21" ht="15" x14ac:dyDescent="0.35">
      <c r="A126" s="383" t="s">
        <v>148</v>
      </c>
      <c r="B126" s="384" t="s">
        <v>78</v>
      </c>
      <c r="C126" s="385">
        <v>190000</v>
      </c>
    </row>
    <row r="127" spans="1:21" ht="15" x14ac:dyDescent="0.35">
      <c r="A127" s="133" t="s">
        <v>80</v>
      </c>
      <c r="B127" s="130" t="s">
        <v>78</v>
      </c>
      <c r="C127" s="387">
        <v>10000000</v>
      </c>
    </row>
    <row r="128" spans="1:21" ht="19" thickBot="1" x14ac:dyDescent="0.5">
      <c r="A128" s="114"/>
      <c r="B128" s="134"/>
      <c r="C128" s="177"/>
    </row>
    <row r="129" spans="1:6" x14ac:dyDescent="0.45">
      <c r="A129" s="391"/>
      <c r="B129" s="392" t="s">
        <v>10</v>
      </c>
      <c r="C129" s="393">
        <f>SUM(C123:C128)</f>
        <v>23079600</v>
      </c>
      <c r="F129">
        <f>+C129-E132</f>
        <v>239314</v>
      </c>
    </row>
    <row r="130" spans="1:6" ht="19" thickBot="1" x14ac:dyDescent="0.5">
      <c r="A130" s="394"/>
      <c r="B130" s="395" t="s">
        <v>196</v>
      </c>
      <c r="C130" s="396">
        <v>5500000</v>
      </c>
    </row>
    <row r="131" spans="1:6" ht="19" thickBot="1" x14ac:dyDescent="0.5">
      <c r="A131" s="135"/>
      <c r="B131" s="100"/>
      <c r="C131" s="280">
        <f>+C129-C130</f>
        <v>17579600</v>
      </c>
    </row>
    <row r="132" spans="1:6" x14ac:dyDescent="0.45">
      <c r="C132" s="511">
        <v>22224230</v>
      </c>
      <c r="D132" s="1">
        <v>616056</v>
      </c>
      <c r="E132" s="1">
        <f>+D132+C132</f>
        <v>22840286</v>
      </c>
    </row>
    <row r="134" spans="1:6" x14ac:dyDescent="0.45">
      <c r="C134" s="1">
        <f>+C129-C132</f>
        <v>855370</v>
      </c>
    </row>
    <row r="150" spans="2:4" ht="19" thickBot="1" x14ac:dyDescent="0.5">
      <c r="B150" s="613" t="s">
        <v>290</v>
      </c>
      <c r="C150" s="613"/>
      <c r="D150" s="613"/>
    </row>
    <row r="151" spans="2:4" ht="16" thickBot="1" x14ac:dyDescent="0.4">
      <c r="B151" s="115" t="s">
        <v>40</v>
      </c>
      <c r="C151" s="499" t="s">
        <v>39</v>
      </c>
      <c r="D151" s="280" t="s">
        <v>286</v>
      </c>
    </row>
    <row r="152" spans="2:4" x14ac:dyDescent="0.45">
      <c r="B152" s="487" t="s">
        <v>4</v>
      </c>
      <c r="C152" s="78">
        <f>+'RL Personal'!D83</f>
        <v>632505711</v>
      </c>
      <c r="D152" s="492">
        <f>C152/C155*100</f>
        <v>63.712037836030632</v>
      </c>
    </row>
    <row r="153" spans="2:4" x14ac:dyDescent="0.45">
      <c r="B153" s="83" t="s">
        <v>5</v>
      </c>
      <c r="C153" s="73">
        <f>+'BR Personal'!F106</f>
        <v>360251282</v>
      </c>
      <c r="D153" s="486">
        <f>+C153/C155*100</f>
        <v>36.287962163969368</v>
      </c>
    </row>
    <row r="154" spans="2:4" ht="19" thickBot="1" x14ac:dyDescent="0.5">
      <c r="B154" s="192"/>
      <c r="C154" s="80"/>
      <c r="D154" s="177"/>
    </row>
    <row r="155" spans="2:4" ht="19" thickBot="1" x14ac:dyDescent="0.5">
      <c r="B155" s="488" t="s">
        <v>10</v>
      </c>
      <c r="C155" s="455">
        <f>SUM(C152:C154)</f>
        <v>992756993</v>
      </c>
      <c r="D155" s="489">
        <f>SUM(D152:D154)</f>
        <v>100</v>
      </c>
    </row>
    <row r="156" spans="2:4" ht="19" thickBot="1" x14ac:dyDescent="0.5">
      <c r="B156" s="490" t="s">
        <v>271</v>
      </c>
      <c r="C156" s="493">
        <v>216</v>
      </c>
      <c r="D156" s="267"/>
    </row>
    <row r="157" spans="2:4" ht="19" thickBot="1" x14ac:dyDescent="0.5">
      <c r="B157" s="488" t="s">
        <v>270</v>
      </c>
      <c r="C157" s="455">
        <f>C155/C156</f>
        <v>4596097.1898148144</v>
      </c>
      <c r="D157" s="491"/>
    </row>
    <row r="162" spans="2:10" ht="19" thickBot="1" x14ac:dyDescent="0.5">
      <c r="B162" s="613" t="s">
        <v>291</v>
      </c>
      <c r="C162" s="613"/>
      <c r="D162" s="613"/>
    </row>
    <row r="163" spans="2:10" ht="16" thickBot="1" x14ac:dyDescent="0.4">
      <c r="B163" s="115" t="s">
        <v>40</v>
      </c>
      <c r="C163" s="499" t="s">
        <v>39</v>
      </c>
      <c r="D163" s="280" t="s">
        <v>286</v>
      </c>
      <c r="H163" s="454" t="s">
        <v>281</v>
      </c>
      <c r="I163" s="455" t="s">
        <v>76</v>
      </c>
      <c r="J163" s="456" t="s">
        <v>272</v>
      </c>
    </row>
    <row r="164" spans="2:10" x14ac:dyDescent="0.45">
      <c r="B164" s="487" t="s">
        <v>4</v>
      </c>
      <c r="C164" s="78">
        <f>+'RL Personal'!D83</f>
        <v>632505711</v>
      </c>
      <c r="D164" s="492">
        <f>C164/C167*100</f>
        <v>62.763713414390566</v>
      </c>
      <c r="E164" s="1">
        <f>+C171*D164/100</f>
        <v>1098113929.8981774</v>
      </c>
      <c r="F164">
        <f>E164-C164</f>
        <v>465608218.89817739</v>
      </c>
      <c r="H164" s="195" t="s">
        <v>282</v>
      </c>
      <c r="I164" s="514">
        <v>46268</v>
      </c>
      <c r="J164" s="185">
        <v>274528482.47454435</v>
      </c>
    </row>
    <row r="165" spans="2:10" x14ac:dyDescent="0.45">
      <c r="B165" s="83" t="s">
        <v>5</v>
      </c>
      <c r="C165" s="73">
        <f>+'BR Personal'!F106+15000000</f>
        <v>375251282</v>
      </c>
      <c r="D165" s="486">
        <f>+C165/C167*100</f>
        <v>37.236286585609434</v>
      </c>
      <c r="E165" s="1">
        <f>+C171*D165/100</f>
        <v>651486070.10182261</v>
      </c>
      <c r="F165">
        <f>E165-C165</f>
        <v>276234788.10182261</v>
      </c>
      <c r="H165" s="513" t="s">
        <v>283</v>
      </c>
      <c r="I165" s="73" t="s">
        <v>279</v>
      </c>
      <c r="J165" s="13">
        <v>274528482.47454435</v>
      </c>
    </row>
    <row r="166" spans="2:10" ht="19" thickBot="1" x14ac:dyDescent="0.5">
      <c r="B166" s="192"/>
      <c r="C166" s="80"/>
      <c r="D166" s="177"/>
      <c r="H166" s="513" t="s">
        <v>284</v>
      </c>
      <c r="I166" s="73" t="s">
        <v>280</v>
      </c>
      <c r="J166" s="13">
        <v>274528482.47454435</v>
      </c>
    </row>
    <row r="167" spans="2:10" ht="19" thickBot="1" x14ac:dyDescent="0.5">
      <c r="B167" s="24" t="s">
        <v>10</v>
      </c>
      <c r="C167" s="455">
        <f>SUM(C164:C166)</f>
        <v>1007756993</v>
      </c>
      <c r="D167" s="489">
        <f>SUM(D164:D166)</f>
        <v>100</v>
      </c>
      <c r="H167" s="513" t="s">
        <v>285</v>
      </c>
      <c r="I167" s="512">
        <v>46306</v>
      </c>
      <c r="J167" s="13">
        <v>274528482.47454435</v>
      </c>
    </row>
    <row r="168" spans="2:10" ht="19" thickBot="1" x14ac:dyDescent="0.5">
      <c r="B168" s="490" t="s">
        <v>271</v>
      </c>
      <c r="C168" s="493">
        <v>216</v>
      </c>
      <c r="D168" s="267"/>
      <c r="H168" s="113"/>
      <c r="I168" s="73"/>
      <c r="J168" s="13"/>
    </row>
    <row r="169" spans="2:10" ht="19" thickBot="1" x14ac:dyDescent="0.5">
      <c r="B169" s="24" t="s">
        <v>270</v>
      </c>
      <c r="C169" s="455">
        <f>C167/C168</f>
        <v>4665541.6342592593</v>
      </c>
      <c r="D169" s="456"/>
      <c r="H169" s="114"/>
      <c r="I169" s="80"/>
      <c r="J169" s="177"/>
    </row>
    <row r="170" spans="2:10" ht="19" thickBot="1" x14ac:dyDescent="0.5">
      <c r="H170" s="515"/>
      <c r="I170" s="455" t="s">
        <v>10</v>
      </c>
      <c r="J170" s="456">
        <f>SUM(J164:J169)</f>
        <v>1098113929.8981774</v>
      </c>
    </row>
    <row r="171" spans="2:10" x14ac:dyDescent="0.45">
      <c r="C171" s="62">
        <f>C168*8100000</f>
        <v>1749600000</v>
      </c>
    </row>
    <row r="172" spans="2:10" x14ac:dyDescent="0.45">
      <c r="C172" s="1">
        <f>C167</f>
        <v>1007756993</v>
      </c>
    </row>
    <row r="173" spans="2:10" x14ac:dyDescent="0.45">
      <c r="C173" s="62">
        <f>C171-C172</f>
        <v>741843007</v>
      </c>
      <c r="E173" s="1">
        <f>C171/C172*100</f>
        <v>173.61328297922313</v>
      </c>
    </row>
  </sheetData>
  <mergeCells count="29">
    <mergeCell ref="B150:D150"/>
    <mergeCell ref="B162:D162"/>
    <mergeCell ref="B88:G88"/>
    <mergeCell ref="B48:D48"/>
    <mergeCell ref="B57:D57"/>
    <mergeCell ref="B72:E72"/>
    <mergeCell ref="B3:B31"/>
    <mergeCell ref="C3:E3"/>
    <mergeCell ref="B38:I38"/>
    <mergeCell ref="G39:I39"/>
    <mergeCell ref="C39:E39"/>
    <mergeCell ref="B33:D33"/>
    <mergeCell ref="F39:F44"/>
    <mergeCell ref="F3:F33"/>
    <mergeCell ref="G34:I34"/>
    <mergeCell ref="H72:K72"/>
    <mergeCell ref="G46:H46"/>
    <mergeCell ref="G3:J3"/>
    <mergeCell ref="G33:I33"/>
    <mergeCell ref="G35:I35"/>
    <mergeCell ref="H81:I81"/>
    <mergeCell ref="H73:I73"/>
    <mergeCell ref="H74:I74"/>
    <mergeCell ref="H75:I75"/>
    <mergeCell ref="H76:I76"/>
    <mergeCell ref="H77:I77"/>
    <mergeCell ref="H78:I78"/>
    <mergeCell ref="H79:I79"/>
    <mergeCell ref="H80:I8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26" orientation="portrait" r:id="rId1"/>
  <rowBreaks count="1" manualBreakCount="1">
    <brk id="69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"/>
  <sheetViews>
    <sheetView workbookViewId="0">
      <selection activeCell="C21" sqref="C21"/>
    </sheetView>
  </sheetViews>
  <sheetFormatPr defaultColWidth="10.81640625" defaultRowHeight="18.5" x14ac:dyDescent="0.35"/>
  <cols>
    <col min="1" max="1" width="20.81640625" style="9" customWidth="1"/>
    <col min="2" max="7" width="17" style="6" customWidth="1"/>
    <col min="8" max="14" width="11.453125" style="6" bestFit="1" customWidth="1"/>
    <col min="15" max="17" width="11" style="6" bestFit="1" customWidth="1"/>
    <col min="18" max="16384" width="10.81640625" style="6"/>
  </cols>
  <sheetData>
    <row r="1" spans="1:17" x14ac:dyDescent="0.35">
      <c r="A1" s="5" t="s">
        <v>0</v>
      </c>
      <c r="B1" s="5">
        <v>13</v>
      </c>
      <c r="H1" s="618" t="s">
        <v>20</v>
      </c>
      <c r="I1" s="619"/>
      <c r="J1" s="619"/>
      <c r="K1" s="619"/>
      <c r="L1" s="619"/>
      <c r="M1" s="619"/>
      <c r="N1" s="619"/>
      <c r="O1" s="619"/>
      <c r="P1" s="619"/>
      <c r="Q1" s="620"/>
    </row>
    <row r="3" spans="1:17" x14ac:dyDescent="0.35">
      <c r="A3" s="621" t="s">
        <v>2</v>
      </c>
      <c r="B3" s="5"/>
      <c r="C3" s="5" t="s">
        <v>6</v>
      </c>
      <c r="D3" s="5" t="s">
        <v>7</v>
      </c>
      <c r="E3" s="5" t="s">
        <v>21</v>
      </c>
      <c r="F3" s="5" t="s">
        <v>18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5">
      <c r="A4" s="621"/>
      <c r="B4" s="10" t="s">
        <v>4</v>
      </c>
      <c r="C4" s="10">
        <v>6.5000000000000002E-2</v>
      </c>
      <c r="D4" s="10"/>
      <c r="E4" s="10">
        <v>6.5000000000000002E-2</v>
      </c>
      <c r="F4" s="10">
        <v>0</v>
      </c>
      <c r="G4" s="10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5">
      <c r="A5" s="621"/>
      <c r="B5" s="10" t="s">
        <v>5</v>
      </c>
      <c r="C5" s="10">
        <v>6.5000000000000002E-2</v>
      </c>
      <c r="D5" s="10"/>
      <c r="E5" s="10">
        <v>6.5000000000000002E-2</v>
      </c>
      <c r="F5" s="10">
        <f>SUM(H5:Q5)</f>
        <v>0</v>
      </c>
      <c r="G5" s="10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9" customFormat="1" x14ac:dyDescent="0.35">
      <c r="A6" s="621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5">
      <c r="A7" s="6"/>
    </row>
    <row r="8" spans="1:17" x14ac:dyDescent="0.35">
      <c r="A8" s="621" t="s">
        <v>3</v>
      </c>
      <c r="B8" s="5"/>
      <c r="C8" s="5" t="s">
        <v>6</v>
      </c>
      <c r="D8" s="5"/>
      <c r="E8" s="5" t="s">
        <v>21</v>
      </c>
      <c r="F8" s="5" t="s">
        <v>18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5">
      <c r="A9" s="621"/>
      <c r="B9" s="10" t="s">
        <v>4</v>
      </c>
      <c r="C9" s="10">
        <v>2.27</v>
      </c>
      <c r="D9" s="10"/>
      <c r="E9" s="10">
        <v>2.27</v>
      </c>
      <c r="F9" s="10">
        <v>0</v>
      </c>
      <c r="G9" s="10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5">
      <c r="A10" s="621"/>
      <c r="B10" s="10" t="s">
        <v>5</v>
      </c>
      <c r="C10" s="10">
        <v>2.27</v>
      </c>
      <c r="D10" s="10"/>
      <c r="E10" s="10">
        <v>2.27</v>
      </c>
      <c r="F10" s="10">
        <f>SUM(H10:Q10)</f>
        <v>0</v>
      </c>
      <c r="G10" s="10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5">
      <c r="A11" s="621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5">
      <c r="A13" s="621" t="s">
        <v>19</v>
      </c>
      <c r="B13" s="5"/>
      <c r="C13" s="5" t="s">
        <v>6</v>
      </c>
      <c r="D13" s="5"/>
      <c r="E13" s="5" t="s">
        <v>21</v>
      </c>
      <c r="F13" s="5" t="s">
        <v>18</v>
      </c>
      <c r="G13" s="5" t="s">
        <v>11</v>
      </c>
    </row>
    <row r="14" spans="1:17" x14ac:dyDescent="0.35">
      <c r="A14" s="621"/>
      <c r="B14" s="10" t="s">
        <v>4</v>
      </c>
      <c r="C14" s="10">
        <f>C4+C9</f>
        <v>2.335</v>
      </c>
      <c r="D14" s="10"/>
      <c r="E14" s="10">
        <v>2.335</v>
      </c>
      <c r="F14" s="10">
        <f>F4+F9</f>
        <v>0</v>
      </c>
      <c r="G14" s="10">
        <f t="shared" ref="G14:G16" si="1">E14-F14</f>
        <v>2.335</v>
      </c>
    </row>
    <row r="15" spans="1:17" x14ac:dyDescent="0.35">
      <c r="A15" s="621"/>
      <c r="B15" s="10" t="s">
        <v>5</v>
      </c>
      <c r="C15" s="10">
        <f>C5+C10</f>
        <v>2.335</v>
      </c>
      <c r="D15" s="10"/>
      <c r="E15" s="10">
        <v>2.335</v>
      </c>
      <c r="F15" s="10">
        <f>F5+F10</f>
        <v>0</v>
      </c>
      <c r="G15" s="10">
        <f t="shared" si="1"/>
        <v>2.335</v>
      </c>
    </row>
    <row r="16" spans="1:17" x14ac:dyDescent="0.35">
      <c r="A16" s="621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1"/>
  <sheetViews>
    <sheetView topLeftCell="A21" workbookViewId="0">
      <selection activeCell="C23" sqref="C23"/>
    </sheetView>
  </sheetViews>
  <sheetFormatPr defaultColWidth="8.81640625" defaultRowHeight="14.5" x14ac:dyDescent="0.35"/>
  <cols>
    <col min="7" max="12" width="10.36328125" bestFit="1" customWidth="1"/>
  </cols>
  <sheetData>
    <row r="1" spans="1:18" x14ac:dyDescent="0.35">
      <c r="A1" t="s">
        <v>0</v>
      </c>
      <c r="B1" t="s">
        <v>1</v>
      </c>
      <c r="D1" t="s">
        <v>6</v>
      </c>
      <c r="E1" t="s">
        <v>7</v>
      </c>
      <c r="F1" t="s">
        <v>8</v>
      </c>
      <c r="G1" s="622" t="s">
        <v>9</v>
      </c>
      <c r="H1" s="622"/>
      <c r="I1" s="622"/>
      <c r="J1" s="622"/>
      <c r="K1" s="622"/>
      <c r="L1" s="622"/>
      <c r="M1" s="622"/>
      <c r="N1" s="622"/>
      <c r="O1" s="622"/>
      <c r="Q1" t="s">
        <v>12</v>
      </c>
      <c r="R1" t="s">
        <v>11</v>
      </c>
    </row>
    <row r="2" spans="1:18" x14ac:dyDescent="0.35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5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5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5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5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5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5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5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5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5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5">
      <c r="H21" s="2">
        <v>45513</v>
      </c>
      <c r="I21" s="2">
        <v>45518</v>
      </c>
    </row>
    <row r="22" spans="2:18" x14ac:dyDescent="0.35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5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5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5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5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5">
      <c r="J28" s="3">
        <v>45541</v>
      </c>
      <c r="K28" s="3">
        <v>45545</v>
      </c>
    </row>
    <row r="29" spans="2:18" x14ac:dyDescent="0.35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5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5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workbookViewId="0">
      <selection activeCell="F43" sqref="F43"/>
    </sheetView>
  </sheetViews>
  <sheetFormatPr defaultColWidth="8.81640625" defaultRowHeight="14.5" x14ac:dyDescent="0.35"/>
  <sheetData>
    <row r="1" spans="1:4" x14ac:dyDescent="0.35">
      <c r="B1">
        <f>0.16+4.51</f>
        <v>4.67</v>
      </c>
    </row>
    <row r="2" spans="1:4" x14ac:dyDescent="0.35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5">
      <c r="C4" t="s">
        <v>5</v>
      </c>
      <c r="D4">
        <f>+D2</f>
        <v>6.5000000000000002E-2</v>
      </c>
    </row>
    <row r="6" spans="1:4" x14ac:dyDescent="0.35">
      <c r="C6" t="s">
        <v>10</v>
      </c>
      <c r="D6">
        <f>SUM(D2:D5)</f>
        <v>0.13</v>
      </c>
    </row>
    <row r="8" spans="1:4" x14ac:dyDescent="0.35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5">
      <c r="C10" t="s">
        <v>5</v>
      </c>
      <c r="D10">
        <f>+D8</f>
        <v>2.27</v>
      </c>
    </row>
    <row r="12" spans="1:4" x14ac:dyDescent="0.35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111"/>
  <sheetViews>
    <sheetView tabSelected="1" topLeftCell="A73" zoomScaleNormal="100" zoomScaleSheetLayoutView="100" workbookViewId="0">
      <selection activeCell="C76" sqref="C76"/>
    </sheetView>
  </sheetViews>
  <sheetFormatPr defaultRowHeight="14.5" x14ac:dyDescent="0.35"/>
  <cols>
    <col min="2" max="2" width="17.54296875" style="1" bestFit="1" customWidth="1"/>
    <col min="3" max="3" width="30.36328125" style="1" bestFit="1" customWidth="1"/>
    <col min="4" max="4" width="16.54296875" style="11" bestFit="1" customWidth="1"/>
    <col min="5" max="5" width="16.453125" style="1" customWidth="1"/>
    <col min="6" max="6" width="14.453125" style="1" customWidth="1"/>
    <col min="7" max="7" width="4.08984375" customWidth="1"/>
    <col min="9" max="9" width="10.54296875" bestFit="1" customWidth="1"/>
  </cols>
  <sheetData>
    <row r="1" spans="2:11" ht="15" thickBot="1" x14ac:dyDescent="0.4"/>
    <row r="2" spans="2:11" ht="19" thickBot="1" x14ac:dyDescent="0.5">
      <c r="B2" s="549" t="s">
        <v>4</v>
      </c>
      <c r="C2" s="550"/>
      <c r="D2" s="550"/>
      <c r="E2" s="550"/>
      <c r="F2" s="551"/>
    </row>
    <row r="3" spans="2:11" ht="16" thickBot="1" x14ac:dyDescent="0.4">
      <c r="B3" s="340" t="s">
        <v>76</v>
      </c>
      <c r="C3" s="341" t="s">
        <v>40</v>
      </c>
      <c r="D3" s="342" t="s">
        <v>39</v>
      </c>
      <c r="E3" s="343" t="s">
        <v>104</v>
      </c>
      <c r="F3" s="344" t="s">
        <v>106</v>
      </c>
    </row>
    <row r="4" spans="2:11" x14ac:dyDescent="0.35">
      <c r="B4" s="178"/>
      <c r="C4" s="268"/>
      <c r="D4" s="179"/>
      <c r="E4" s="183"/>
      <c r="F4" s="185"/>
    </row>
    <row r="5" spans="2:11" ht="15" x14ac:dyDescent="0.35">
      <c r="B5" s="430">
        <v>45513</v>
      </c>
      <c r="C5" s="431" t="s">
        <v>188</v>
      </c>
      <c r="D5" s="194">
        <v>65000000</v>
      </c>
      <c r="E5" s="73" t="s">
        <v>105</v>
      </c>
      <c r="F5" s="13" t="s">
        <v>108</v>
      </c>
    </row>
    <row r="6" spans="2:11" ht="15" x14ac:dyDescent="0.35">
      <c r="B6" s="430">
        <v>45518</v>
      </c>
      <c r="C6" s="431" t="s">
        <v>188</v>
      </c>
      <c r="D6" s="194">
        <v>85000000</v>
      </c>
      <c r="E6" s="73" t="s">
        <v>105</v>
      </c>
      <c r="F6" s="13" t="s">
        <v>108</v>
      </c>
    </row>
    <row r="7" spans="2:11" ht="15" x14ac:dyDescent="0.35">
      <c r="B7" s="430">
        <v>45559</v>
      </c>
      <c r="C7" s="431" t="s">
        <v>188</v>
      </c>
      <c r="D7" s="194">
        <v>20000000</v>
      </c>
      <c r="E7" s="73" t="s">
        <v>105</v>
      </c>
      <c r="F7" s="13" t="s">
        <v>108</v>
      </c>
    </row>
    <row r="8" spans="2:11" ht="15" x14ac:dyDescent="0.35">
      <c r="B8" s="430"/>
      <c r="C8" s="431"/>
      <c r="D8" s="194"/>
      <c r="E8" s="73"/>
      <c r="F8" s="13"/>
    </row>
    <row r="9" spans="2:11" ht="15" x14ac:dyDescent="0.35">
      <c r="B9" s="430" t="s">
        <v>115</v>
      </c>
      <c r="C9" s="431" t="s">
        <v>213</v>
      </c>
      <c r="D9" s="194">
        <f>+'JK - ALL'!C129-5500000</f>
        <v>17579600</v>
      </c>
      <c r="E9" s="73" t="s">
        <v>105</v>
      </c>
      <c r="F9" s="13" t="s">
        <v>108</v>
      </c>
    </row>
    <row r="10" spans="2:11" ht="15" x14ac:dyDescent="0.35">
      <c r="B10" s="430" t="s">
        <v>84</v>
      </c>
      <c r="C10" s="431" t="s">
        <v>214</v>
      </c>
      <c r="D10" s="194">
        <f>1400000+50505+1060606</f>
        <v>2511111</v>
      </c>
      <c r="E10" s="73" t="s">
        <v>105</v>
      </c>
      <c r="F10" s="13" t="s">
        <v>108</v>
      </c>
    </row>
    <row r="11" spans="2:11" ht="15" thickBot="1" x14ac:dyDescent="0.4">
      <c r="B11" s="186"/>
      <c r="C11" s="271"/>
      <c r="D11" s="181"/>
      <c r="E11" s="80"/>
      <c r="F11" s="177"/>
    </row>
    <row r="12" spans="2:11" s="4" customFormat="1" ht="16" thickBot="1" x14ac:dyDescent="0.4">
      <c r="B12" s="345" t="s">
        <v>10</v>
      </c>
      <c r="C12" s="346"/>
      <c r="D12" s="381">
        <f>SUM(D5:D11)</f>
        <v>190090711</v>
      </c>
      <c r="E12" s="348"/>
      <c r="F12" s="349"/>
      <c r="I12" s="4">
        <v>204911387</v>
      </c>
      <c r="K12" s="4">
        <v>22840286</v>
      </c>
    </row>
    <row r="13" spans="2:11" ht="15" thickBot="1" x14ac:dyDescent="0.4">
      <c r="I13">
        <v>15234739</v>
      </c>
    </row>
    <row r="14" spans="2:11" ht="15" x14ac:dyDescent="0.35">
      <c r="B14" s="432">
        <v>45488</v>
      </c>
      <c r="C14" s="433" t="s">
        <v>188</v>
      </c>
      <c r="D14" s="193">
        <v>90000000</v>
      </c>
      <c r="E14" s="74" t="s">
        <v>107</v>
      </c>
      <c r="F14" s="75" t="s">
        <v>108</v>
      </c>
    </row>
    <row r="15" spans="2:11" ht="15" x14ac:dyDescent="0.35">
      <c r="B15" s="430">
        <v>45512</v>
      </c>
      <c r="C15" s="431" t="s">
        <v>188</v>
      </c>
      <c r="D15" s="194">
        <v>10000000</v>
      </c>
      <c r="E15" s="73" t="s">
        <v>107</v>
      </c>
      <c r="F15" s="13" t="s">
        <v>108</v>
      </c>
      <c r="I15">
        <f>+I12-I13</f>
        <v>189676648</v>
      </c>
    </row>
    <row r="16" spans="2:11" ht="15" x14ac:dyDescent="0.35">
      <c r="B16" s="430">
        <v>45541</v>
      </c>
      <c r="C16" s="431" t="s">
        <v>188</v>
      </c>
      <c r="D16" s="194">
        <v>10000000</v>
      </c>
      <c r="E16" s="73" t="s">
        <v>107</v>
      </c>
      <c r="F16" s="13" t="s">
        <v>108</v>
      </c>
      <c r="I16">
        <f>+D12-I15</f>
        <v>414063</v>
      </c>
    </row>
    <row r="17" spans="2:6" ht="15" x14ac:dyDescent="0.35">
      <c r="B17" s="430">
        <v>45545</v>
      </c>
      <c r="C17" s="431" t="s">
        <v>188</v>
      </c>
      <c r="D17" s="194">
        <v>21000000</v>
      </c>
      <c r="E17" s="73" t="s">
        <v>107</v>
      </c>
      <c r="F17" s="13" t="s">
        <v>108</v>
      </c>
    </row>
    <row r="18" spans="2:6" ht="15" x14ac:dyDescent="0.35">
      <c r="B18" s="430">
        <v>45563</v>
      </c>
      <c r="C18" s="431" t="s">
        <v>188</v>
      </c>
      <c r="D18" s="194">
        <v>29000000</v>
      </c>
      <c r="E18" s="73" t="s">
        <v>107</v>
      </c>
      <c r="F18" s="13" t="s">
        <v>108</v>
      </c>
    </row>
    <row r="19" spans="2:6" ht="15" x14ac:dyDescent="0.35">
      <c r="B19" s="430">
        <v>45567</v>
      </c>
      <c r="C19" s="431" t="s">
        <v>188</v>
      </c>
      <c r="D19" s="194">
        <v>10000000</v>
      </c>
      <c r="E19" s="73" t="s">
        <v>107</v>
      </c>
      <c r="F19" s="13" t="s">
        <v>108</v>
      </c>
    </row>
    <row r="20" spans="2:6" ht="15" x14ac:dyDescent="0.35">
      <c r="B20" s="430">
        <v>45569</v>
      </c>
      <c r="C20" s="431" t="s">
        <v>188</v>
      </c>
      <c r="D20" s="194">
        <v>20000000</v>
      </c>
      <c r="E20" s="73" t="s">
        <v>107</v>
      </c>
      <c r="F20" s="13" t="s">
        <v>108</v>
      </c>
    </row>
    <row r="21" spans="2:6" ht="15" x14ac:dyDescent="0.35">
      <c r="B21" s="430">
        <v>45572</v>
      </c>
      <c r="C21" s="431" t="s">
        <v>188</v>
      </c>
      <c r="D21" s="194">
        <v>10000000</v>
      </c>
      <c r="E21" s="73" t="s">
        <v>107</v>
      </c>
      <c r="F21" s="13" t="s">
        <v>108</v>
      </c>
    </row>
    <row r="22" spans="2:6" ht="15" x14ac:dyDescent="0.35">
      <c r="B22" s="430">
        <v>45574</v>
      </c>
      <c r="C22" s="431" t="s">
        <v>188</v>
      </c>
      <c r="D22" s="194">
        <v>15000000</v>
      </c>
      <c r="E22" s="73" t="s">
        <v>107</v>
      </c>
      <c r="F22" s="13" t="s">
        <v>108</v>
      </c>
    </row>
    <row r="23" spans="2:6" ht="15" x14ac:dyDescent="0.35">
      <c r="B23" s="430">
        <v>45580</v>
      </c>
      <c r="C23" s="431" t="s">
        <v>188</v>
      </c>
      <c r="D23" s="194">
        <v>23000000</v>
      </c>
      <c r="E23" s="73" t="s">
        <v>107</v>
      </c>
      <c r="F23" s="13" t="s">
        <v>108</v>
      </c>
    </row>
    <row r="24" spans="2:6" ht="15" x14ac:dyDescent="0.35">
      <c r="B24" s="430">
        <v>45581</v>
      </c>
      <c r="C24" s="431" t="s">
        <v>188</v>
      </c>
      <c r="D24" s="194">
        <v>17000000</v>
      </c>
      <c r="E24" s="73" t="s">
        <v>107</v>
      </c>
      <c r="F24" s="13" t="s">
        <v>108</v>
      </c>
    </row>
    <row r="25" spans="2:6" ht="15" x14ac:dyDescent="0.35">
      <c r="B25" s="430">
        <v>45701</v>
      </c>
      <c r="C25" s="431" t="s">
        <v>188</v>
      </c>
      <c r="D25" s="194">
        <v>30000000</v>
      </c>
      <c r="E25" s="73" t="s">
        <v>107</v>
      </c>
      <c r="F25" s="13" t="s">
        <v>108</v>
      </c>
    </row>
    <row r="26" spans="2:6" ht="15" x14ac:dyDescent="0.35">
      <c r="B26" s="430">
        <v>45705</v>
      </c>
      <c r="C26" s="431" t="s">
        <v>188</v>
      </c>
      <c r="D26" s="194">
        <v>28000000</v>
      </c>
      <c r="E26" s="73" t="s">
        <v>107</v>
      </c>
      <c r="F26" s="13" t="s">
        <v>108</v>
      </c>
    </row>
    <row r="27" spans="2:6" ht="15" x14ac:dyDescent="0.35">
      <c r="B27" s="430">
        <v>45708</v>
      </c>
      <c r="C27" s="431" t="s">
        <v>188</v>
      </c>
      <c r="D27" s="194">
        <v>12000000</v>
      </c>
      <c r="E27" s="73" t="s">
        <v>107</v>
      </c>
      <c r="F27" s="13" t="s">
        <v>108</v>
      </c>
    </row>
    <row r="28" spans="2:6" ht="15" x14ac:dyDescent="0.35">
      <c r="B28" s="430" t="s">
        <v>47</v>
      </c>
      <c r="C28" s="431" t="s">
        <v>188</v>
      </c>
      <c r="D28" s="194">
        <v>8500000</v>
      </c>
      <c r="E28" s="73" t="s">
        <v>107</v>
      </c>
      <c r="F28" s="13" t="s">
        <v>108</v>
      </c>
    </row>
    <row r="29" spans="2:6" ht="15" x14ac:dyDescent="0.35">
      <c r="B29" s="434" t="s">
        <v>48</v>
      </c>
      <c r="C29" s="431" t="s">
        <v>188</v>
      </c>
      <c r="D29" s="194">
        <v>11500000</v>
      </c>
      <c r="E29" s="73" t="s">
        <v>107</v>
      </c>
      <c r="F29" s="13" t="s">
        <v>108</v>
      </c>
    </row>
    <row r="30" spans="2:6" ht="15" x14ac:dyDescent="0.35">
      <c r="B30" s="434" t="s">
        <v>49</v>
      </c>
      <c r="C30" s="431" t="s">
        <v>188</v>
      </c>
      <c r="D30" s="194">
        <v>30000000</v>
      </c>
      <c r="E30" s="73" t="s">
        <v>107</v>
      </c>
      <c r="F30" s="13" t="s">
        <v>108</v>
      </c>
    </row>
    <row r="31" spans="2:6" ht="15" x14ac:dyDescent="0.35">
      <c r="B31" s="430">
        <v>45751</v>
      </c>
      <c r="C31" s="431" t="s">
        <v>188</v>
      </c>
      <c r="D31" s="194">
        <v>2500000</v>
      </c>
      <c r="E31" s="73" t="s">
        <v>107</v>
      </c>
      <c r="F31" s="13" t="s">
        <v>108</v>
      </c>
    </row>
    <row r="32" spans="2:6" ht="15" x14ac:dyDescent="0.35">
      <c r="B32" s="430">
        <v>45785</v>
      </c>
      <c r="C32" s="431" t="s">
        <v>188</v>
      </c>
      <c r="D32" s="194">
        <v>11000000</v>
      </c>
      <c r="E32" s="73" t="s">
        <v>107</v>
      </c>
      <c r="F32" s="13" t="s">
        <v>108</v>
      </c>
    </row>
    <row r="33" spans="2:6" ht="15" x14ac:dyDescent="0.35">
      <c r="B33" s="430">
        <v>45786</v>
      </c>
      <c r="C33" s="431" t="s">
        <v>188</v>
      </c>
      <c r="D33" s="194">
        <v>9000000</v>
      </c>
      <c r="E33" s="73" t="s">
        <v>107</v>
      </c>
      <c r="F33" s="13" t="s">
        <v>108</v>
      </c>
    </row>
    <row r="34" spans="2:6" ht="15" x14ac:dyDescent="0.35">
      <c r="B34" s="430">
        <v>45790</v>
      </c>
      <c r="C34" s="431" t="s">
        <v>188</v>
      </c>
      <c r="D34" s="194">
        <v>25000000</v>
      </c>
      <c r="E34" s="73" t="s">
        <v>107</v>
      </c>
      <c r="F34" s="13" t="s">
        <v>108</v>
      </c>
    </row>
    <row r="35" spans="2:6" ht="15" x14ac:dyDescent="0.35">
      <c r="B35" s="430">
        <v>45791</v>
      </c>
      <c r="C35" s="431" t="s">
        <v>188</v>
      </c>
      <c r="D35" s="194">
        <v>10000000</v>
      </c>
      <c r="E35" s="73" t="s">
        <v>107</v>
      </c>
      <c r="F35" s="13" t="s">
        <v>108</v>
      </c>
    </row>
    <row r="36" spans="2:6" ht="15" x14ac:dyDescent="0.35">
      <c r="B36" s="430">
        <v>45799</v>
      </c>
      <c r="C36" s="431" t="s">
        <v>188</v>
      </c>
      <c r="D36" s="194">
        <v>5000000</v>
      </c>
      <c r="E36" s="73" t="s">
        <v>107</v>
      </c>
      <c r="F36" s="13" t="s">
        <v>108</v>
      </c>
    </row>
    <row r="37" spans="2:6" ht="15.5" thickBot="1" x14ac:dyDescent="0.4">
      <c r="B37" s="186"/>
      <c r="C37" s="271"/>
      <c r="D37" s="282"/>
      <c r="E37" s="80"/>
      <c r="F37" s="177"/>
    </row>
    <row r="38" spans="2:6" ht="15.5" thickBot="1" x14ac:dyDescent="0.4">
      <c r="B38" s="350" t="s">
        <v>8</v>
      </c>
      <c r="C38" s="351"/>
      <c r="D38" s="381">
        <f>SUM(D14:D37)</f>
        <v>437500000</v>
      </c>
      <c r="E38" s="352"/>
      <c r="F38" s="353"/>
    </row>
    <row r="40" spans="2:6" ht="15" thickBot="1" x14ac:dyDescent="0.4"/>
    <row r="41" spans="2:6" ht="19" thickBot="1" x14ac:dyDescent="0.5">
      <c r="B41" s="549" t="s">
        <v>129</v>
      </c>
      <c r="C41" s="550"/>
      <c r="D41" s="550"/>
      <c r="E41" s="550"/>
      <c r="F41" s="551"/>
    </row>
    <row r="42" spans="2:6" s="48" customFormat="1" ht="16" thickBot="1" x14ac:dyDescent="0.4">
      <c r="B42" s="410" t="s">
        <v>76</v>
      </c>
      <c r="C42" s="411" t="s">
        <v>40</v>
      </c>
      <c r="D42" s="412" t="s">
        <v>39</v>
      </c>
      <c r="E42" s="413" t="s">
        <v>104</v>
      </c>
      <c r="F42" s="414" t="s">
        <v>106</v>
      </c>
    </row>
    <row r="43" spans="2:6" ht="15" x14ac:dyDescent="0.35">
      <c r="B43" s="430">
        <v>45589</v>
      </c>
      <c r="C43" s="419" t="s">
        <v>118</v>
      </c>
      <c r="D43" s="193">
        <v>995000</v>
      </c>
      <c r="E43" s="74" t="s">
        <v>105</v>
      </c>
      <c r="F43" s="75" t="s">
        <v>109</v>
      </c>
    </row>
    <row r="44" spans="2:6" ht="15" x14ac:dyDescent="0.35">
      <c r="B44" s="430">
        <v>45675</v>
      </c>
      <c r="C44" s="382" t="s">
        <v>119</v>
      </c>
      <c r="D44" s="194">
        <v>248750</v>
      </c>
      <c r="E44" s="73" t="s">
        <v>105</v>
      </c>
      <c r="F44" s="13" t="s">
        <v>109</v>
      </c>
    </row>
    <row r="45" spans="2:6" ht="15" x14ac:dyDescent="0.35">
      <c r="B45" s="430">
        <v>45675</v>
      </c>
      <c r="C45" s="382" t="s">
        <v>120</v>
      </c>
      <c r="D45" s="194">
        <v>248750</v>
      </c>
      <c r="E45" s="73" t="s">
        <v>105</v>
      </c>
      <c r="F45" s="13" t="s">
        <v>109</v>
      </c>
    </row>
    <row r="46" spans="2:6" ht="15" x14ac:dyDescent="0.35">
      <c r="B46" s="430">
        <v>45675</v>
      </c>
      <c r="C46" s="382" t="s">
        <v>121</v>
      </c>
      <c r="D46" s="194">
        <v>995000</v>
      </c>
      <c r="E46" s="73" t="s">
        <v>105</v>
      </c>
      <c r="F46" s="13" t="s">
        <v>109</v>
      </c>
    </row>
    <row r="47" spans="2:6" ht="15" x14ac:dyDescent="0.35">
      <c r="B47" s="430">
        <v>45675</v>
      </c>
      <c r="C47" s="382" t="s">
        <v>122</v>
      </c>
      <c r="D47" s="194">
        <v>995000</v>
      </c>
      <c r="E47" s="73" t="s">
        <v>105</v>
      </c>
      <c r="F47" s="13" t="s">
        <v>109</v>
      </c>
    </row>
    <row r="48" spans="2:6" ht="15" x14ac:dyDescent="0.35">
      <c r="B48" s="430">
        <v>45675</v>
      </c>
      <c r="C48" s="382" t="s">
        <v>123</v>
      </c>
      <c r="D48" s="194">
        <v>995000</v>
      </c>
      <c r="E48" s="73" t="s">
        <v>105</v>
      </c>
      <c r="F48" s="13" t="s">
        <v>109</v>
      </c>
    </row>
    <row r="49" spans="2:9" ht="15" x14ac:dyDescent="0.35">
      <c r="B49" s="430">
        <v>45677</v>
      </c>
      <c r="C49" s="382" t="s">
        <v>124</v>
      </c>
      <c r="D49" s="194">
        <v>248750</v>
      </c>
      <c r="E49" s="73" t="s">
        <v>105</v>
      </c>
      <c r="F49" s="13" t="s">
        <v>109</v>
      </c>
    </row>
    <row r="50" spans="2:9" ht="15" x14ac:dyDescent="0.35">
      <c r="B50" s="430">
        <v>45679</v>
      </c>
      <c r="C50" s="382" t="s">
        <v>125</v>
      </c>
      <c r="D50" s="194">
        <v>248750</v>
      </c>
      <c r="E50" s="73" t="s">
        <v>105</v>
      </c>
      <c r="F50" s="13" t="s">
        <v>109</v>
      </c>
    </row>
    <row r="51" spans="2:9" ht="15" x14ac:dyDescent="0.35">
      <c r="B51" s="430">
        <v>45700</v>
      </c>
      <c r="C51" s="382" t="s">
        <v>126</v>
      </c>
      <c r="D51" s="194">
        <v>995000</v>
      </c>
      <c r="E51" s="73" t="s">
        <v>105</v>
      </c>
      <c r="F51" s="13" t="s">
        <v>109</v>
      </c>
    </row>
    <row r="52" spans="2:9" ht="15" x14ac:dyDescent="0.35">
      <c r="B52" s="430">
        <v>45700</v>
      </c>
      <c r="C52" s="382" t="s">
        <v>122</v>
      </c>
      <c r="D52" s="194">
        <v>995000</v>
      </c>
      <c r="E52" s="73" t="s">
        <v>105</v>
      </c>
      <c r="F52" s="13" t="s">
        <v>109</v>
      </c>
    </row>
    <row r="53" spans="2:9" ht="15.5" thickBot="1" x14ac:dyDescent="0.4">
      <c r="B53" s="420"/>
      <c r="C53" s="421"/>
      <c r="D53" s="281"/>
      <c r="E53" s="76"/>
      <c r="F53" s="77"/>
    </row>
    <row r="54" spans="2:9" ht="15.5" thickBot="1" x14ac:dyDescent="0.4">
      <c r="B54" s="415" t="s">
        <v>10</v>
      </c>
      <c r="C54" s="416"/>
      <c r="D54" s="417">
        <f>SUM(D43:D53)</f>
        <v>6965000</v>
      </c>
      <c r="E54" s="96"/>
      <c r="F54" s="418"/>
    </row>
    <row r="55" spans="2:9" ht="15" x14ac:dyDescent="0.35">
      <c r="B55" s="552" t="s">
        <v>146</v>
      </c>
      <c r="C55" s="553"/>
      <c r="D55" s="283">
        <v>7050000</v>
      </c>
      <c r="E55" s="78"/>
      <c r="F55" s="185"/>
    </row>
    <row r="56" spans="2:9" ht="15.5" thickBot="1" x14ac:dyDescent="0.4">
      <c r="B56" s="556"/>
      <c r="C56" s="557"/>
      <c r="D56" s="282"/>
      <c r="E56" s="266"/>
      <c r="F56" s="267"/>
    </row>
    <row r="57" spans="2:9" s="4" customFormat="1" ht="15.5" thickBot="1" x14ac:dyDescent="0.4">
      <c r="B57" s="554" t="s">
        <v>147</v>
      </c>
      <c r="C57" s="555"/>
      <c r="D57" s="381">
        <f>+D54-D55</f>
        <v>-85000</v>
      </c>
      <c r="E57" s="352"/>
      <c r="F57" s="353"/>
      <c r="I57" s="4">
        <v>190505711</v>
      </c>
    </row>
    <row r="58" spans="2:9" ht="15" thickBot="1" x14ac:dyDescent="0.4">
      <c r="I58">
        <v>500000</v>
      </c>
    </row>
    <row r="59" spans="2:9" ht="16" thickBot="1" x14ac:dyDescent="0.4">
      <c r="B59" s="558" t="s">
        <v>222</v>
      </c>
      <c r="C59" s="559"/>
      <c r="D59" s="201">
        <f>+D12+D38+D57</f>
        <v>627505711</v>
      </c>
      <c r="E59" s="348"/>
      <c r="F59" s="349"/>
    </row>
    <row r="60" spans="2:9" ht="15" thickBot="1" x14ac:dyDescent="0.4">
      <c r="I60">
        <v>437500000</v>
      </c>
    </row>
    <row r="61" spans="2:9" ht="16" thickBot="1" x14ac:dyDescent="0.4">
      <c r="B61" s="562" t="s">
        <v>268</v>
      </c>
      <c r="C61" s="563"/>
      <c r="D61" s="564"/>
      <c r="E61" s="564"/>
      <c r="F61" s="565"/>
    </row>
    <row r="62" spans="2:9" x14ac:dyDescent="0.35">
      <c r="B62" s="195"/>
      <c r="C62" s="275"/>
      <c r="D62" s="196"/>
      <c r="E62" s="78"/>
      <c r="F62" s="185"/>
      <c r="I62">
        <f>SUM(I57:I61)</f>
        <v>628505711</v>
      </c>
    </row>
    <row r="63" spans="2:9" ht="15" x14ac:dyDescent="0.35">
      <c r="B63" s="430">
        <v>45853</v>
      </c>
      <c r="C63" s="274" t="s">
        <v>244</v>
      </c>
      <c r="D63" s="194">
        <v>2500000</v>
      </c>
      <c r="E63" s="73" t="s">
        <v>245</v>
      </c>
      <c r="F63" s="13" t="s">
        <v>28</v>
      </c>
    </row>
    <row r="64" spans="2:9" ht="15" x14ac:dyDescent="0.35">
      <c r="B64" s="430">
        <v>45873</v>
      </c>
      <c r="C64" s="274" t="s">
        <v>244</v>
      </c>
      <c r="D64" s="194">
        <v>2500000</v>
      </c>
      <c r="E64" s="73" t="s">
        <v>245</v>
      </c>
      <c r="F64" s="13" t="s">
        <v>28</v>
      </c>
    </row>
    <row r="65" spans="2:6" ht="15.5" thickBot="1" x14ac:dyDescent="0.4">
      <c r="B65" s="480"/>
      <c r="C65" s="481"/>
      <c r="D65" s="282"/>
      <c r="E65" s="80"/>
      <c r="F65" s="177"/>
    </row>
    <row r="66" spans="2:6" ht="15.5" thickBot="1" x14ac:dyDescent="0.4">
      <c r="B66" s="484"/>
      <c r="C66" s="485"/>
      <c r="D66" s="381">
        <f>SUM(D63:D65)</f>
        <v>5000000</v>
      </c>
      <c r="E66" s="455"/>
      <c r="F66" s="456"/>
    </row>
    <row r="67" spans="2:6" ht="15.5" thickBot="1" x14ac:dyDescent="0.4">
      <c r="B67" s="482"/>
      <c r="C67" s="483"/>
      <c r="D67" s="283"/>
      <c r="E67" s="78"/>
      <c r="F67" s="185"/>
    </row>
    <row r="68" spans="2:6" ht="16" thickBot="1" x14ac:dyDescent="0.4">
      <c r="B68" s="562" t="s">
        <v>269</v>
      </c>
      <c r="C68" s="563"/>
      <c r="D68" s="564"/>
      <c r="E68" s="564"/>
      <c r="F68" s="565"/>
    </row>
    <row r="69" spans="2:6" ht="15" x14ac:dyDescent="0.35">
      <c r="B69" s="430">
        <v>45786</v>
      </c>
      <c r="C69" s="274" t="s">
        <v>127</v>
      </c>
      <c r="D69" s="194">
        <v>500000</v>
      </c>
      <c r="E69" s="73" t="s">
        <v>105</v>
      </c>
      <c r="F69" s="13" t="s">
        <v>246</v>
      </c>
    </row>
    <row r="70" spans="2:6" ht="15" x14ac:dyDescent="0.35">
      <c r="B70" s="430" t="s">
        <v>289</v>
      </c>
      <c r="C70" s="274" t="s">
        <v>288</v>
      </c>
      <c r="D70" s="194">
        <v>360000</v>
      </c>
      <c r="E70" s="73" t="s">
        <v>105</v>
      </c>
      <c r="F70" s="13"/>
    </row>
    <row r="71" spans="2:6" ht="15" x14ac:dyDescent="0.35">
      <c r="B71" s="430" t="s">
        <v>256</v>
      </c>
      <c r="C71" s="274" t="s">
        <v>127</v>
      </c>
      <c r="D71" s="194">
        <v>1255000</v>
      </c>
      <c r="E71" s="73" t="s">
        <v>105</v>
      </c>
      <c r="F71" s="13" t="s">
        <v>246</v>
      </c>
    </row>
    <row r="72" spans="2:6" ht="15" x14ac:dyDescent="0.35">
      <c r="B72" s="430" t="s">
        <v>257</v>
      </c>
      <c r="C72" s="274" t="s">
        <v>258</v>
      </c>
      <c r="D72" s="194">
        <v>150000</v>
      </c>
      <c r="E72" s="73" t="s">
        <v>105</v>
      </c>
      <c r="F72" s="13" t="s">
        <v>259</v>
      </c>
    </row>
    <row r="73" spans="2:6" ht="15" x14ac:dyDescent="0.35">
      <c r="B73" s="430" t="s">
        <v>257</v>
      </c>
      <c r="C73" s="274" t="s">
        <v>260</v>
      </c>
      <c r="D73" s="194">
        <v>300000</v>
      </c>
      <c r="E73" s="73" t="s">
        <v>105</v>
      </c>
      <c r="F73" s="13" t="s">
        <v>261</v>
      </c>
    </row>
    <row r="74" spans="2:6" ht="15" x14ac:dyDescent="0.35">
      <c r="B74" s="430" t="s">
        <v>257</v>
      </c>
      <c r="C74" s="274" t="s">
        <v>262</v>
      </c>
      <c r="D74" s="194">
        <v>60000</v>
      </c>
      <c r="E74" s="73" t="s">
        <v>105</v>
      </c>
      <c r="F74" s="13" t="s">
        <v>263</v>
      </c>
    </row>
    <row r="75" spans="2:6" ht="15" x14ac:dyDescent="0.35">
      <c r="B75" s="430" t="s">
        <v>257</v>
      </c>
      <c r="C75" s="274" t="s">
        <v>287</v>
      </c>
      <c r="D75" s="194">
        <v>500000</v>
      </c>
      <c r="E75" s="73" t="s">
        <v>105</v>
      </c>
      <c r="F75" s="13" t="s">
        <v>264</v>
      </c>
    </row>
    <row r="76" spans="2:6" ht="15" x14ac:dyDescent="0.35">
      <c r="B76" s="430">
        <v>46119</v>
      </c>
      <c r="C76" s="274" t="s">
        <v>301</v>
      </c>
      <c r="D76" s="194">
        <v>5000000</v>
      </c>
      <c r="E76" s="73" t="s">
        <v>245</v>
      </c>
      <c r="F76" s="13" t="s">
        <v>302</v>
      </c>
    </row>
    <row r="77" spans="2:6" ht="15" x14ac:dyDescent="0.35">
      <c r="B77" s="430"/>
      <c r="C77" s="274"/>
      <c r="D77" s="194"/>
      <c r="E77" s="73"/>
      <c r="F77" s="13"/>
    </row>
    <row r="78" spans="2:6" x14ac:dyDescent="0.35">
      <c r="B78" s="471"/>
      <c r="C78" s="270"/>
      <c r="D78" s="180"/>
      <c r="E78" s="73"/>
      <c r="F78" s="13"/>
    </row>
    <row r="79" spans="2:6" ht="15" thickBot="1" x14ac:dyDescent="0.4">
      <c r="B79" s="186"/>
      <c r="C79" s="271"/>
      <c r="D79" s="181"/>
      <c r="E79" s="80"/>
      <c r="F79" s="177"/>
    </row>
    <row r="80" spans="2:6" ht="15.5" thickBot="1" x14ac:dyDescent="0.4">
      <c r="B80" s="560" t="s">
        <v>10</v>
      </c>
      <c r="C80" s="561"/>
      <c r="D80" s="381">
        <f>SUM(D69:D79)</f>
        <v>8125000</v>
      </c>
      <c r="E80" s="197"/>
      <c r="F80" s="198"/>
    </row>
    <row r="81" spans="2:6" ht="15" thickBot="1" x14ac:dyDescent="0.4"/>
    <row r="82" spans="2:6" ht="16" thickBot="1" x14ac:dyDescent="0.4">
      <c r="B82" s="558" t="s">
        <v>130</v>
      </c>
      <c r="C82" s="559"/>
      <c r="D82" s="201">
        <f>+D59+D66+D80</f>
        <v>640630711</v>
      </c>
      <c r="E82" s="348"/>
      <c r="F82" s="349"/>
    </row>
    <row r="83" spans="2:6" hidden="1" x14ac:dyDescent="0.35">
      <c r="D83" s="11">
        <f>+D82-D80</f>
        <v>632505711</v>
      </c>
    </row>
    <row r="84" spans="2:6" ht="15" hidden="1" thickBot="1" x14ac:dyDescent="0.4"/>
    <row r="85" spans="2:6" ht="16" hidden="1" thickBot="1" x14ac:dyDescent="0.4">
      <c r="B85" s="570" t="s">
        <v>141</v>
      </c>
      <c r="C85" s="571"/>
      <c r="D85" s="571"/>
      <c r="E85" s="571"/>
      <c r="F85" s="572"/>
    </row>
    <row r="86" spans="2:6" ht="16" hidden="1" thickBot="1" x14ac:dyDescent="0.4">
      <c r="B86" s="355" t="s">
        <v>76</v>
      </c>
      <c r="C86" s="356" t="s">
        <v>40</v>
      </c>
      <c r="D86" s="357" t="s">
        <v>39</v>
      </c>
      <c r="E86" s="358" t="s">
        <v>104</v>
      </c>
      <c r="F86" s="359" t="s">
        <v>106</v>
      </c>
    </row>
    <row r="87" spans="2:6" ht="17.5" hidden="1" x14ac:dyDescent="0.35">
      <c r="B87" s="364"/>
      <c r="C87" s="365"/>
      <c r="D87" s="366"/>
      <c r="E87" s="367"/>
      <c r="F87" s="75"/>
    </row>
    <row r="88" spans="2:6" ht="15.5" hidden="1" x14ac:dyDescent="0.35">
      <c r="B88" s="276" t="s">
        <v>131</v>
      </c>
      <c r="C88" s="363" t="s">
        <v>132</v>
      </c>
      <c r="D88" s="194">
        <v>1100000</v>
      </c>
      <c r="E88" s="200"/>
      <c r="F88" s="13"/>
    </row>
    <row r="89" spans="2:6" ht="15.5" hidden="1" x14ac:dyDescent="0.35">
      <c r="B89" s="276" t="s">
        <v>131</v>
      </c>
      <c r="C89" s="363" t="s">
        <v>133</v>
      </c>
      <c r="D89" s="194">
        <v>1150000</v>
      </c>
      <c r="E89" s="200"/>
      <c r="F89" s="13"/>
    </row>
    <row r="90" spans="2:6" ht="15.5" hidden="1" x14ac:dyDescent="0.35">
      <c r="B90" s="276" t="s">
        <v>134</v>
      </c>
      <c r="C90" s="363" t="s">
        <v>135</v>
      </c>
      <c r="D90" s="194">
        <v>850000</v>
      </c>
      <c r="E90" s="200"/>
      <c r="F90" s="13"/>
    </row>
    <row r="91" spans="2:6" ht="15.5" hidden="1" x14ac:dyDescent="0.35">
      <c r="B91" s="276" t="s">
        <v>136</v>
      </c>
      <c r="C91" s="363" t="s">
        <v>137</v>
      </c>
      <c r="D91" s="194">
        <v>950000</v>
      </c>
      <c r="E91" s="200"/>
      <c r="F91" s="13"/>
    </row>
    <row r="92" spans="2:6" ht="15" hidden="1" customHeight="1" x14ac:dyDescent="0.35">
      <c r="B92" s="276" t="s">
        <v>138</v>
      </c>
      <c r="C92" s="363" t="s">
        <v>139</v>
      </c>
      <c r="D92" s="194">
        <v>3000000</v>
      </c>
      <c r="E92" s="200"/>
      <c r="F92" s="13"/>
    </row>
    <row r="93" spans="2:6" hidden="1" x14ac:dyDescent="0.35">
      <c r="B93" s="354"/>
      <c r="C93" s="199"/>
      <c r="D93" s="279"/>
      <c r="E93" s="199"/>
      <c r="F93" s="13"/>
    </row>
    <row r="94" spans="2:6" ht="15" hidden="1" thickBot="1" x14ac:dyDescent="0.4">
      <c r="B94" s="368"/>
      <c r="C94" s="369"/>
      <c r="D94" s="370"/>
      <c r="E94" s="369"/>
      <c r="F94" s="77"/>
    </row>
    <row r="95" spans="2:6" ht="19" hidden="1" thickBot="1" x14ac:dyDescent="0.5">
      <c r="B95" s="568" t="s">
        <v>140</v>
      </c>
      <c r="C95" s="569"/>
      <c r="D95" s="360">
        <f>SUM(D88:D94)</f>
        <v>7050000</v>
      </c>
      <c r="E95" s="361"/>
      <c r="F95" s="362"/>
    </row>
    <row r="96" spans="2:6" hidden="1" x14ac:dyDescent="0.35"/>
    <row r="97" spans="3:6" hidden="1" x14ac:dyDescent="0.35"/>
    <row r="98" spans="3:6" hidden="1" x14ac:dyDescent="0.35"/>
    <row r="100" spans="3:6" ht="15" thickBot="1" x14ac:dyDescent="0.4">
      <c r="C100" s="566" t="s">
        <v>293</v>
      </c>
      <c r="D100" s="566"/>
      <c r="E100" s="566"/>
    </row>
    <row r="101" spans="3:6" x14ac:dyDescent="0.35">
      <c r="C101" s="523" t="s">
        <v>4</v>
      </c>
      <c r="D101" s="524">
        <f>D82</f>
        <v>640630711</v>
      </c>
      <c r="E101" s="530">
        <f>D101/D104*100</f>
        <v>62.220368531757444</v>
      </c>
    </row>
    <row r="102" spans="3:6" x14ac:dyDescent="0.35">
      <c r="C102" s="513" t="s">
        <v>5</v>
      </c>
      <c r="D102" s="180">
        <f>'BR Personal'!F98</f>
        <v>388985034</v>
      </c>
      <c r="E102" s="486">
        <f>D102/D104*100</f>
        <v>37.779631468242556</v>
      </c>
    </row>
    <row r="103" spans="3:6" ht="15" thickBot="1" x14ac:dyDescent="0.4">
      <c r="C103" s="186"/>
      <c r="D103" s="181"/>
      <c r="E103" s="177"/>
    </row>
    <row r="104" spans="3:6" ht="15" thickBot="1" x14ac:dyDescent="0.4">
      <c r="C104" s="454" t="s">
        <v>8</v>
      </c>
      <c r="D104" s="526">
        <f>SUM(D101:D103)</f>
        <v>1029615745</v>
      </c>
      <c r="E104" s="456"/>
    </row>
    <row r="106" spans="3:6" ht="15" thickBot="1" x14ac:dyDescent="0.4">
      <c r="C106" s="567" t="s">
        <v>294</v>
      </c>
      <c r="D106" s="567"/>
      <c r="E106" s="567"/>
      <c r="F106" s="567"/>
    </row>
    <row r="107" spans="3:6" ht="15" thickBot="1" x14ac:dyDescent="0.4">
      <c r="C107" s="454" t="s">
        <v>292</v>
      </c>
      <c r="D107" s="526" t="s">
        <v>218</v>
      </c>
      <c r="E107" s="455" t="s">
        <v>9</v>
      </c>
      <c r="F107" s="456" t="s">
        <v>299</v>
      </c>
    </row>
    <row r="108" spans="3:6" x14ac:dyDescent="0.35">
      <c r="C108" s="195" t="s">
        <v>4</v>
      </c>
      <c r="D108" s="196">
        <f>D104*0.65</f>
        <v>669250234.25</v>
      </c>
      <c r="E108" s="528">
        <f>D101</f>
        <v>640630711</v>
      </c>
      <c r="F108" s="529">
        <f>E108-D108</f>
        <v>-28619523.25</v>
      </c>
    </row>
    <row r="109" spans="3:6" x14ac:dyDescent="0.35">
      <c r="C109" s="513" t="s">
        <v>5</v>
      </c>
      <c r="D109" s="180">
        <f>D104*0.35</f>
        <v>360365510.75</v>
      </c>
      <c r="E109" s="522">
        <f>D102</f>
        <v>388985034</v>
      </c>
      <c r="F109" s="525">
        <f>E109-D109</f>
        <v>28619523.25</v>
      </c>
    </row>
    <row r="110" spans="3:6" ht="15" thickBot="1" x14ac:dyDescent="0.4">
      <c r="C110" s="186"/>
      <c r="D110" s="181"/>
      <c r="E110" s="80"/>
      <c r="F110" s="177"/>
    </row>
    <row r="111" spans="3:6" ht="15" thickBot="1" x14ac:dyDescent="0.4">
      <c r="C111" s="454"/>
      <c r="D111" s="526">
        <f>SUM(D108:D110)</f>
        <v>1029615745</v>
      </c>
      <c r="E111" s="526">
        <f>SUM(E108:E110)</f>
        <v>1029615745</v>
      </c>
      <c r="F111" s="527"/>
    </row>
  </sheetData>
  <mergeCells count="14">
    <mergeCell ref="C100:E100"/>
    <mergeCell ref="C106:F106"/>
    <mergeCell ref="B95:C95"/>
    <mergeCell ref="B41:F41"/>
    <mergeCell ref="B61:F61"/>
    <mergeCell ref="B85:F85"/>
    <mergeCell ref="B2:F2"/>
    <mergeCell ref="B55:C55"/>
    <mergeCell ref="B57:C57"/>
    <mergeCell ref="B56:C56"/>
    <mergeCell ref="B82:C82"/>
    <mergeCell ref="B80:C80"/>
    <mergeCell ref="B59:C59"/>
    <mergeCell ref="B68:F68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fitToHeight="2" orientation="portrait" r:id="rId1"/>
  <rowBreaks count="2" manualBreakCount="2">
    <brk id="40" min="1" max="5" man="1"/>
    <brk id="82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M121"/>
  <sheetViews>
    <sheetView view="pageBreakPreview" topLeftCell="A34" zoomScaleNormal="85" zoomScaleSheetLayoutView="100" workbookViewId="0">
      <selection activeCell="F91" sqref="F91"/>
    </sheetView>
  </sheetViews>
  <sheetFormatPr defaultRowHeight="14" x14ac:dyDescent="0.3"/>
  <cols>
    <col min="1" max="2" width="8.7265625" style="202"/>
    <col min="3" max="3" width="38.36328125" style="202" bestFit="1" customWidth="1"/>
    <col min="4" max="4" width="13.6328125" style="209" bestFit="1" customWidth="1"/>
    <col min="5" max="5" width="8.54296875" style="209" bestFit="1" customWidth="1"/>
    <col min="6" max="6" width="18" style="209" bestFit="1" customWidth="1"/>
    <col min="7" max="7" width="18.90625" style="209" bestFit="1" customWidth="1"/>
    <col min="8" max="8" width="14.81640625" style="209" customWidth="1"/>
    <col min="9" max="12" width="8.7265625" style="202"/>
    <col min="13" max="13" width="13.6328125" style="202" bestFit="1" customWidth="1"/>
    <col min="14" max="16384" width="8.7265625" style="202"/>
  </cols>
  <sheetData>
    <row r="2" spans="3:8" ht="18" thickBot="1" x14ac:dyDescent="0.4">
      <c r="C2" s="623" t="s">
        <v>5</v>
      </c>
      <c r="D2" s="623"/>
      <c r="E2" s="623"/>
      <c r="F2" s="623"/>
      <c r="G2" s="623"/>
      <c r="H2" s="623"/>
    </row>
    <row r="3" spans="3:8" s="219" customFormat="1" ht="18" thickBot="1" x14ac:dyDescent="0.4">
      <c r="C3" s="256" t="s">
        <v>76</v>
      </c>
      <c r="D3" s="257"/>
      <c r="E3" s="257"/>
      <c r="F3" s="258" t="s">
        <v>39</v>
      </c>
      <c r="G3" s="259" t="s">
        <v>142</v>
      </c>
      <c r="H3" s="260" t="s">
        <v>106</v>
      </c>
    </row>
    <row r="4" spans="3:8" x14ac:dyDescent="0.3">
      <c r="C4" s="203"/>
      <c r="D4" s="228"/>
      <c r="E4" s="228"/>
      <c r="F4" s="204"/>
      <c r="G4" s="204"/>
      <c r="H4" s="229"/>
    </row>
    <row r="5" spans="3:8" ht="15" x14ac:dyDescent="0.3">
      <c r="C5" s="397">
        <v>45513</v>
      </c>
      <c r="D5" s="230"/>
      <c r="E5" s="230"/>
      <c r="F5" s="206">
        <v>25000000</v>
      </c>
      <c r="G5" s="232" t="s">
        <v>143</v>
      </c>
      <c r="H5" s="233" t="s">
        <v>108</v>
      </c>
    </row>
    <row r="6" spans="3:8" ht="15" x14ac:dyDescent="0.3">
      <c r="C6" s="397">
        <v>45525</v>
      </c>
      <c r="D6" s="230"/>
      <c r="E6" s="230"/>
      <c r="F6" s="206">
        <v>10000000</v>
      </c>
      <c r="G6" s="232" t="s">
        <v>143</v>
      </c>
      <c r="H6" s="233" t="s">
        <v>108</v>
      </c>
    </row>
    <row r="7" spans="3:8" ht="15" x14ac:dyDescent="0.3">
      <c r="C7" s="397">
        <v>45532</v>
      </c>
      <c r="D7" s="230"/>
      <c r="E7" s="230"/>
      <c r="F7" s="206">
        <v>5000000</v>
      </c>
      <c r="G7" s="232" t="s">
        <v>143</v>
      </c>
      <c r="H7" s="233" t="s">
        <v>108</v>
      </c>
    </row>
    <row r="8" spans="3:8" ht="15" x14ac:dyDescent="0.3">
      <c r="C8" s="397">
        <v>45534</v>
      </c>
      <c r="D8" s="230"/>
      <c r="E8" s="230"/>
      <c r="F8" s="206">
        <v>10000000</v>
      </c>
      <c r="G8" s="232" t="s">
        <v>143</v>
      </c>
      <c r="H8" s="233" t="s">
        <v>108</v>
      </c>
    </row>
    <row r="9" spans="3:8" ht="15" x14ac:dyDescent="0.3">
      <c r="C9" s="397">
        <v>45540</v>
      </c>
      <c r="D9" s="230"/>
      <c r="E9" s="230"/>
      <c r="F9" s="206">
        <v>5000000</v>
      </c>
      <c r="G9" s="232" t="s">
        <v>143</v>
      </c>
      <c r="H9" s="233" t="s">
        <v>108</v>
      </c>
    </row>
    <row r="10" spans="3:8" ht="15" x14ac:dyDescent="0.3">
      <c r="C10" s="397">
        <v>45546</v>
      </c>
      <c r="D10" s="230"/>
      <c r="E10" s="230"/>
      <c r="F10" s="206">
        <v>5000000</v>
      </c>
      <c r="G10" s="232" t="s">
        <v>143</v>
      </c>
      <c r="H10" s="233" t="s">
        <v>108</v>
      </c>
    </row>
    <row r="11" spans="3:8" ht="15" x14ac:dyDescent="0.3">
      <c r="C11" s="397">
        <v>45556</v>
      </c>
      <c r="D11" s="230"/>
      <c r="E11" s="230"/>
      <c r="F11" s="206">
        <v>10000000</v>
      </c>
      <c r="G11" s="232" t="s">
        <v>22</v>
      </c>
      <c r="H11" s="233" t="s">
        <v>108</v>
      </c>
    </row>
    <row r="12" spans="3:8" ht="15" x14ac:dyDescent="0.3">
      <c r="C12" s="397">
        <v>45565</v>
      </c>
      <c r="D12" s="230"/>
      <c r="E12" s="230"/>
      <c r="F12" s="206">
        <v>10000000</v>
      </c>
      <c r="G12" s="232" t="s">
        <v>143</v>
      </c>
      <c r="H12" s="233" t="s">
        <v>108</v>
      </c>
    </row>
    <row r="13" spans="3:8" ht="15" x14ac:dyDescent="0.3">
      <c r="C13" s="430">
        <v>45582</v>
      </c>
      <c r="D13" s="230" t="s">
        <v>29</v>
      </c>
      <c r="E13" s="230"/>
      <c r="F13" s="206">
        <v>5500000</v>
      </c>
      <c r="G13" s="232" t="s">
        <v>143</v>
      </c>
      <c r="H13" s="233" t="s">
        <v>108</v>
      </c>
    </row>
    <row r="14" spans="3:8" ht="15" x14ac:dyDescent="0.3">
      <c r="C14" s="430">
        <v>45587</v>
      </c>
      <c r="D14" s="230"/>
      <c r="E14" s="230"/>
      <c r="F14" s="206">
        <v>1100000</v>
      </c>
      <c r="G14" s="232" t="s">
        <v>132</v>
      </c>
      <c r="H14" s="233" t="s">
        <v>109</v>
      </c>
    </row>
    <row r="15" spans="3:8" ht="15" x14ac:dyDescent="0.3">
      <c r="C15" s="430">
        <v>45587</v>
      </c>
      <c r="D15" s="230"/>
      <c r="E15" s="230"/>
      <c r="F15" s="206">
        <v>1150000</v>
      </c>
      <c r="G15" s="232" t="s">
        <v>133</v>
      </c>
      <c r="H15" s="233" t="s">
        <v>109</v>
      </c>
    </row>
    <row r="16" spans="3:8" ht="15" x14ac:dyDescent="0.3">
      <c r="C16" s="430">
        <v>45602</v>
      </c>
      <c r="D16" s="230"/>
      <c r="E16" s="230"/>
      <c r="F16" s="206">
        <v>850000</v>
      </c>
      <c r="G16" s="232" t="s">
        <v>135</v>
      </c>
      <c r="H16" s="233" t="s">
        <v>109</v>
      </c>
    </row>
    <row r="17" spans="3:8" ht="15" x14ac:dyDescent="0.3">
      <c r="C17" s="430">
        <v>45603</v>
      </c>
      <c r="D17" s="230"/>
      <c r="E17" s="230"/>
      <c r="F17" s="206">
        <v>950000</v>
      </c>
      <c r="G17" s="232" t="s">
        <v>137</v>
      </c>
      <c r="H17" s="233" t="s">
        <v>109</v>
      </c>
    </row>
    <row r="18" spans="3:8" ht="15" x14ac:dyDescent="0.3">
      <c r="C18" s="430">
        <v>45672</v>
      </c>
      <c r="D18" s="230"/>
      <c r="E18" s="230"/>
      <c r="F18" s="206">
        <v>3000000</v>
      </c>
      <c r="G18" s="232" t="s">
        <v>139</v>
      </c>
      <c r="H18" s="233" t="s">
        <v>109</v>
      </c>
    </row>
    <row r="19" spans="3:8" x14ac:dyDescent="0.3">
      <c r="C19" s="205"/>
      <c r="D19" s="230"/>
      <c r="E19" s="230"/>
      <c r="F19" s="231">
        <v>0</v>
      </c>
      <c r="G19" s="206"/>
      <c r="H19" s="233"/>
    </row>
    <row r="20" spans="3:8" ht="14.5" thickBot="1" x14ac:dyDescent="0.35">
      <c r="C20" s="207"/>
      <c r="D20" s="234"/>
      <c r="E20" s="234"/>
      <c r="F20" s="208"/>
      <c r="G20" s="208"/>
      <c r="H20" s="235"/>
    </row>
    <row r="21" spans="3:8" ht="20.5" thickBot="1" x14ac:dyDescent="0.45">
      <c r="C21" s="248" t="s">
        <v>10</v>
      </c>
      <c r="D21" s="249"/>
      <c r="E21" s="249"/>
      <c r="F21" s="250">
        <f>SUM(F5:F20)</f>
        <v>92550000</v>
      </c>
      <c r="G21" s="250"/>
      <c r="H21" s="251"/>
    </row>
    <row r="22" spans="3:8" ht="14.5" thickBot="1" x14ac:dyDescent="0.35"/>
    <row r="23" spans="3:8" x14ac:dyDescent="0.3">
      <c r="C23" s="398">
        <v>45345</v>
      </c>
      <c r="D23" s="236"/>
      <c r="E23" s="236"/>
      <c r="F23" s="210">
        <v>12100000</v>
      </c>
      <c r="G23" s="210" t="s">
        <v>107</v>
      </c>
      <c r="H23" s="238" t="s">
        <v>108</v>
      </c>
    </row>
    <row r="24" spans="3:8" x14ac:dyDescent="0.3">
      <c r="C24" s="397">
        <v>45362</v>
      </c>
      <c r="D24" s="230"/>
      <c r="E24" s="230"/>
      <c r="F24" s="206">
        <v>12000000</v>
      </c>
      <c r="G24" s="206" t="s">
        <v>107</v>
      </c>
      <c r="H24" s="233" t="s">
        <v>108</v>
      </c>
    </row>
    <row r="25" spans="3:8" x14ac:dyDescent="0.3">
      <c r="C25" s="397">
        <v>45369</v>
      </c>
      <c r="D25" s="230"/>
      <c r="E25" s="230"/>
      <c r="F25" s="206">
        <v>7500000</v>
      </c>
      <c r="G25" s="206" t="s">
        <v>107</v>
      </c>
      <c r="H25" s="233" t="s">
        <v>108</v>
      </c>
    </row>
    <row r="26" spans="3:8" x14ac:dyDescent="0.3">
      <c r="C26" s="397">
        <v>45373</v>
      </c>
      <c r="D26" s="230"/>
      <c r="E26" s="230"/>
      <c r="F26" s="206">
        <v>7000000</v>
      </c>
      <c r="G26" s="206" t="s">
        <v>107</v>
      </c>
      <c r="H26" s="233" t="s">
        <v>108</v>
      </c>
    </row>
    <row r="27" spans="3:8" x14ac:dyDescent="0.3">
      <c r="C27" s="397">
        <v>45388</v>
      </c>
      <c r="D27" s="230"/>
      <c r="E27" s="230"/>
      <c r="F27" s="206">
        <v>5500000</v>
      </c>
      <c r="G27" s="206" t="s">
        <v>107</v>
      </c>
      <c r="H27" s="233" t="s">
        <v>108</v>
      </c>
    </row>
    <row r="28" spans="3:8" x14ac:dyDescent="0.3">
      <c r="C28" s="397">
        <v>45392</v>
      </c>
      <c r="D28" s="230"/>
      <c r="E28" s="230"/>
      <c r="F28" s="206">
        <v>6000000</v>
      </c>
      <c r="G28" s="206" t="s">
        <v>107</v>
      </c>
      <c r="H28" s="233" t="s">
        <v>108</v>
      </c>
    </row>
    <row r="29" spans="3:8" x14ac:dyDescent="0.3">
      <c r="C29" s="397">
        <v>45474</v>
      </c>
      <c r="D29" s="230"/>
      <c r="E29" s="230"/>
      <c r="F29" s="206">
        <v>10000000</v>
      </c>
      <c r="G29" s="206" t="s">
        <v>107</v>
      </c>
      <c r="H29" s="233" t="s">
        <v>108</v>
      </c>
    </row>
    <row r="30" spans="3:8" x14ac:dyDescent="0.3">
      <c r="C30" s="397">
        <v>45482</v>
      </c>
      <c r="D30" s="230"/>
      <c r="E30" s="230"/>
      <c r="F30" s="206">
        <v>10000000</v>
      </c>
      <c r="G30" s="206" t="s">
        <v>107</v>
      </c>
      <c r="H30" s="233" t="s">
        <v>108</v>
      </c>
    </row>
    <row r="31" spans="3:8" x14ac:dyDescent="0.3">
      <c r="C31" s="397">
        <v>45509</v>
      </c>
      <c r="D31" s="230"/>
      <c r="E31" s="230"/>
      <c r="F31" s="206">
        <v>20000000</v>
      </c>
      <c r="G31" s="206" t="s">
        <v>107</v>
      </c>
      <c r="H31" s="233" t="s">
        <v>108</v>
      </c>
    </row>
    <row r="32" spans="3:8" x14ac:dyDescent="0.3">
      <c r="C32" s="397">
        <v>45513</v>
      </c>
      <c r="D32" s="230"/>
      <c r="E32" s="230"/>
      <c r="F32" s="206">
        <v>6500000</v>
      </c>
      <c r="G32" s="206" t="s">
        <v>107</v>
      </c>
      <c r="H32" s="233" t="s">
        <v>108</v>
      </c>
    </row>
    <row r="33" spans="3:8" x14ac:dyDescent="0.3">
      <c r="C33" s="397">
        <v>45535</v>
      </c>
      <c r="D33" s="230"/>
      <c r="E33" s="230"/>
      <c r="F33" s="206">
        <v>10000000</v>
      </c>
      <c r="G33" s="206" t="s">
        <v>107</v>
      </c>
      <c r="H33" s="233" t="s">
        <v>108</v>
      </c>
    </row>
    <row r="34" spans="3:8" x14ac:dyDescent="0.3">
      <c r="C34" s="397">
        <v>45537</v>
      </c>
      <c r="D34" s="230"/>
      <c r="E34" s="230"/>
      <c r="F34" s="206">
        <v>7500000</v>
      </c>
      <c r="G34" s="206" t="s">
        <v>107</v>
      </c>
      <c r="H34" s="233" t="s">
        <v>108</v>
      </c>
    </row>
    <row r="35" spans="3:8" x14ac:dyDescent="0.3">
      <c r="C35" s="397">
        <v>45556</v>
      </c>
      <c r="D35" s="230"/>
      <c r="E35" s="230"/>
      <c r="F35" s="206">
        <v>6500000</v>
      </c>
      <c r="G35" s="206" t="s">
        <v>107</v>
      </c>
      <c r="H35" s="233" t="s">
        <v>108</v>
      </c>
    </row>
    <row r="36" spans="3:8" s="211" customFormat="1" x14ac:dyDescent="0.3">
      <c r="C36" s="397">
        <v>45559</v>
      </c>
      <c r="D36" s="230"/>
      <c r="E36" s="230"/>
      <c r="F36" s="206">
        <v>7000000</v>
      </c>
      <c r="G36" s="206" t="s">
        <v>107</v>
      </c>
      <c r="H36" s="233" t="s">
        <v>108</v>
      </c>
    </row>
    <row r="37" spans="3:8" x14ac:dyDescent="0.3">
      <c r="C37" s="397">
        <v>45572</v>
      </c>
      <c r="D37" s="230"/>
      <c r="E37" s="230"/>
      <c r="F37" s="206">
        <v>6000000</v>
      </c>
      <c r="G37" s="206" t="s">
        <v>107</v>
      </c>
      <c r="H37" s="233" t="s">
        <v>108</v>
      </c>
    </row>
    <row r="38" spans="3:8" x14ac:dyDescent="0.3">
      <c r="C38" s="397">
        <v>45651</v>
      </c>
      <c r="D38" s="230"/>
      <c r="E38" s="230"/>
      <c r="F38" s="206">
        <v>12500000</v>
      </c>
      <c r="G38" s="206" t="s">
        <v>107</v>
      </c>
      <c r="H38" s="233" t="s">
        <v>108</v>
      </c>
    </row>
    <row r="39" spans="3:8" x14ac:dyDescent="0.3">
      <c r="C39" s="400" t="s">
        <v>203</v>
      </c>
      <c r="D39" s="401"/>
      <c r="E39" s="401"/>
      <c r="F39" s="402">
        <v>2500000</v>
      </c>
      <c r="G39" s="402" t="s">
        <v>107</v>
      </c>
      <c r="H39" s="403" t="s">
        <v>108</v>
      </c>
    </row>
    <row r="40" spans="3:8" x14ac:dyDescent="0.3">
      <c r="C40" s="212"/>
      <c r="D40" s="239"/>
      <c r="E40" s="239"/>
      <c r="F40" s="206"/>
      <c r="G40" s="206"/>
      <c r="H40" s="233"/>
    </row>
    <row r="41" spans="3:8" ht="14.5" thickBot="1" x14ac:dyDescent="0.35">
      <c r="C41" s="207"/>
      <c r="D41" s="234"/>
      <c r="E41" s="234"/>
      <c r="F41" s="208"/>
      <c r="G41" s="208"/>
      <c r="H41" s="235"/>
    </row>
    <row r="42" spans="3:8" ht="18" thickBot="1" x14ac:dyDescent="0.4">
      <c r="C42" s="252" t="s">
        <v>8</v>
      </c>
      <c r="D42" s="253"/>
      <c r="E42" s="253"/>
      <c r="F42" s="254">
        <f>SUM(F23:F41)</f>
        <v>148600000</v>
      </c>
      <c r="G42" s="246"/>
      <c r="H42" s="255"/>
    </row>
    <row r="45" spans="3:8" ht="18" thickBot="1" x14ac:dyDescent="0.4">
      <c r="C45" s="623" t="s">
        <v>116</v>
      </c>
      <c r="D45" s="623"/>
      <c r="E45" s="623"/>
      <c r="F45" s="623"/>
      <c r="G45" s="623"/>
      <c r="H45" s="623"/>
    </row>
    <row r="46" spans="3:8" s="219" customFormat="1" ht="35.5" thickBot="1" x14ac:dyDescent="0.4">
      <c r="C46" s="256" t="s">
        <v>76</v>
      </c>
      <c r="D46" s="257" t="s">
        <v>39</v>
      </c>
      <c r="E46" s="257" t="s">
        <v>29</v>
      </c>
      <c r="F46" s="258" t="s">
        <v>39</v>
      </c>
      <c r="G46" s="259" t="s">
        <v>104</v>
      </c>
      <c r="H46" s="260" t="s">
        <v>106</v>
      </c>
    </row>
    <row r="47" spans="3:8" x14ac:dyDescent="0.3">
      <c r="C47" s="213"/>
      <c r="D47" s="210"/>
      <c r="E47" s="210"/>
      <c r="F47" s="237"/>
      <c r="G47" s="210"/>
      <c r="H47" s="238"/>
    </row>
    <row r="48" spans="3:8" x14ac:dyDescent="0.3">
      <c r="C48" s="214" t="s">
        <v>93</v>
      </c>
      <c r="D48" s="206">
        <v>2500000</v>
      </c>
      <c r="E48" s="206">
        <v>2500</v>
      </c>
      <c r="F48" s="224">
        <f t="shared" ref="F48:F49" si="0">+SUM(C48:E48)</f>
        <v>2502500</v>
      </c>
      <c r="G48" s="206" t="s">
        <v>107</v>
      </c>
      <c r="H48" s="233" t="s">
        <v>109</v>
      </c>
    </row>
    <row r="49" spans="3:13" x14ac:dyDescent="0.3">
      <c r="C49" s="214" t="s">
        <v>94</v>
      </c>
      <c r="D49" s="206">
        <v>4131000</v>
      </c>
      <c r="E49" s="206">
        <v>2500</v>
      </c>
      <c r="F49" s="224">
        <f t="shared" si="0"/>
        <v>4133500</v>
      </c>
      <c r="G49" s="206" t="s">
        <v>107</v>
      </c>
      <c r="H49" s="233" t="s">
        <v>109</v>
      </c>
    </row>
    <row r="50" spans="3:13" x14ac:dyDescent="0.3">
      <c r="C50" s="214" t="s">
        <v>96</v>
      </c>
      <c r="D50" s="206">
        <v>4243200</v>
      </c>
      <c r="E50" s="206">
        <v>2500</v>
      </c>
      <c r="F50" s="224">
        <f t="shared" ref="F50:F53" si="1">+SUM(C50:E50)</f>
        <v>4245700</v>
      </c>
      <c r="G50" s="206" t="s">
        <v>107</v>
      </c>
      <c r="H50" s="233" t="s">
        <v>109</v>
      </c>
    </row>
    <row r="51" spans="3:13" x14ac:dyDescent="0.3">
      <c r="C51" s="214" t="s">
        <v>97</v>
      </c>
      <c r="D51" s="206">
        <v>13875000</v>
      </c>
      <c r="E51" s="206">
        <v>2500</v>
      </c>
      <c r="F51" s="224">
        <f t="shared" si="1"/>
        <v>13877500</v>
      </c>
      <c r="G51" s="206" t="s">
        <v>107</v>
      </c>
      <c r="H51" s="233" t="s">
        <v>109</v>
      </c>
    </row>
    <row r="52" spans="3:13" x14ac:dyDescent="0.3">
      <c r="C52" s="214" t="s">
        <v>98</v>
      </c>
      <c r="D52" s="206">
        <v>6240000</v>
      </c>
      <c r="E52" s="206">
        <v>2500</v>
      </c>
      <c r="F52" s="224">
        <f t="shared" si="1"/>
        <v>6242500</v>
      </c>
      <c r="G52" s="206" t="s">
        <v>107</v>
      </c>
      <c r="H52" s="233" t="s">
        <v>109</v>
      </c>
    </row>
    <row r="53" spans="3:13" x14ac:dyDescent="0.3">
      <c r="C53" s="214" t="s">
        <v>99</v>
      </c>
      <c r="D53" s="206">
        <v>2025000</v>
      </c>
      <c r="E53" s="206">
        <v>2500</v>
      </c>
      <c r="F53" s="224">
        <f t="shared" si="1"/>
        <v>2027500</v>
      </c>
      <c r="G53" s="206" t="s">
        <v>107</v>
      </c>
      <c r="H53" s="233" t="s">
        <v>109</v>
      </c>
    </row>
    <row r="54" spans="3:13" x14ac:dyDescent="0.3">
      <c r="C54" s="214" t="s">
        <v>100</v>
      </c>
      <c r="D54" s="206">
        <v>8451000</v>
      </c>
      <c r="E54" s="206">
        <v>2500</v>
      </c>
      <c r="F54" s="224">
        <f t="shared" ref="F54:F59" si="2">+SUM(C54:E54)</f>
        <v>8453500</v>
      </c>
      <c r="G54" s="206" t="s">
        <v>107</v>
      </c>
      <c r="H54" s="233" t="s">
        <v>109</v>
      </c>
    </row>
    <row r="55" spans="3:13" ht="15.5" x14ac:dyDescent="0.35">
      <c r="C55" s="404" t="s">
        <v>190</v>
      </c>
      <c r="D55" s="296">
        <v>40000000</v>
      </c>
      <c r="E55" s="206">
        <v>0</v>
      </c>
      <c r="F55" s="224">
        <f t="shared" si="2"/>
        <v>40000000</v>
      </c>
      <c r="G55" s="206" t="s">
        <v>107</v>
      </c>
      <c r="H55" s="233" t="s">
        <v>109</v>
      </c>
    </row>
    <row r="56" spans="3:13" ht="15.5" x14ac:dyDescent="0.35">
      <c r="C56" s="404" t="s">
        <v>191</v>
      </c>
      <c r="D56" s="296">
        <v>16000000</v>
      </c>
      <c r="E56" s="206">
        <v>0</v>
      </c>
      <c r="F56" s="224">
        <f t="shared" si="2"/>
        <v>16000000</v>
      </c>
      <c r="G56" s="206" t="s">
        <v>107</v>
      </c>
      <c r="H56" s="233" t="s">
        <v>109</v>
      </c>
    </row>
    <row r="57" spans="3:13" s="219" customFormat="1" ht="31" x14ac:dyDescent="0.35">
      <c r="C57" s="405" t="s">
        <v>200</v>
      </c>
      <c r="D57" s="302">
        <v>7000000</v>
      </c>
      <c r="E57" s="224">
        <v>0</v>
      </c>
      <c r="F57" s="224">
        <f t="shared" si="2"/>
        <v>7000000</v>
      </c>
      <c r="G57" s="224" t="s">
        <v>107</v>
      </c>
      <c r="H57" s="244" t="s">
        <v>109</v>
      </c>
    </row>
    <row r="58" spans="3:13" ht="15.5" x14ac:dyDescent="0.35">
      <c r="C58" s="404" t="s">
        <v>192</v>
      </c>
      <c r="D58" s="302">
        <v>3500000</v>
      </c>
      <c r="E58" s="224">
        <v>0</v>
      </c>
      <c r="F58" s="224">
        <f t="shared" si="2"/>
        <v>3500000</v>
      </c>
      <c r="G58" s="206" t="s">
        <v>107</v>
      </c>
      <c r="H58" s="233" t="s">
        <v>109</v>
      </c>
    </row>
    <row r="59" spans="3:13" ht="16" customHeight="1" x14ac:dyDescent="0.35">
      <c r="C59" s="448" t="s">
        <v>199</v>
      </c>
      <c r="D59" s="402">
        <v>70000</v>
      </c>
      <c r="E59" s="449">
        <v>0</v>
      </c>
      <c r="F59" s="449">
        <f t="shared" si="2"/>
        <v>70000</v>
      </c>
      <c r="G59" s="402" t="s">
        <v>107</v>
      </c>
      <c r="H59" s="403" t="s">
        <v>109</v>
      </c>
    </row>
    <row r="60" spans="3:13" ht="14.5" thickBot="1" x14ac:dyDescent="0.35">
      <c r="C60" s="215"/>
      <c r="D60" s="216"/>
      <c r="E60" s="216"/>
      <c r="F60" s="216"/>
      <c r="G60" s="216"/>
      <c r="H60" s="240"/>
    </row>
    <row r="61" spans="3:13" ht="18" thickBot="1" x14ac:dyDescent="0.4">
      <c r="C61" s="627" t="s">
        <v>144</v>
      </c>
      <c r="D61" s="628"/>
      <c r="E61" s="629"/>
      <c r="F61" s="241">
        <f>SUM(F47:F59)</f>
        <v>108052700</v>
      </c>
      <c r="G61" s="227"/>
      <c r="H61" s="242"/>
    </row>
    <row r="62" spans="3:13" ht="15" customHeight="1" thickBot="1" x14ac:dyDescent="0.35">
      <c r="C62" s="633"/>
      <c r="D62" s="634"/>
      <c r="E62" s="635"/>
      <c r="F62" s="218"/>
      <c r="G62" s="218"/>
      <c r="H62" s="243"/>
    </row>
    <row r="63" spans="3:13" s="219" customFormat="1" ht="18" thickBot="1" x14ac:dyDescent="0.4">
      <c r="C63" s="630" t="s">
        <v>145</v>
      </c>
      <c r="D63" s="631"/>
      <c r="E63" s="632"/>
      <c r="F63" s="245">
        <f>+F61+F42+F21</f>
        <v>349202700</v>
      </c>
      <c r="G63" s="246"/>
      <c r="H63" s="247"/>
      <c r="L63" s="219" t="s">
        <v>4</v>
      </c>
      <c r="M63" s="406">
        <f>+'RL Personal'!D82</f>
        <v>640630711</v>
      </c>
    </row>
    <row r="64" spans="3:13" x14ac:dyDescent="0.3">
      <c r="C64" s="220"/>
      <c r="D64" s="220"/>
      <c r="E64" s="220"/>
      <c r="F64" s="221"/>
      <c r="G64" s="220"/>
      <c r="H64" s="220"/>
      <c r="L64" s="202" t="s">
        <v>5</v>
      </c>
      <c r="M64" s="407">
        <f>+F98</f>
        <v>388985034</v>
      </c>
    </row>
    <row r="65" spans="3:13" x14ac:dyDescent="0.3">
      <c r="C65" s="220"/>
      <c r="D65" s="220"/>
      <c r="E65" s="220"/>
      <c r="F65" s="221"/>
      <c r="G65" s="220"/>
      <c r="H65" s="220"/>
    </row>
    <row r="66" spans="3:13" ht="18" thickBot="1" x14ac:dyDescent="0.4">
      <c r="C66" s="623" t="s">
        <v>117</v>
      </c>
      <c r="D66" s="623"/>
      <c r="E66" s="623"/>
      <c r="F66" s="623"/>
      <c r="G66" s="623"/>
      <c r="H66" s="623"/>
      <c r="M66" s="407">
        <f>SUM(M63:M65)</f>
        <v>1029615745</v>
      </c>
    </row>
    <row r="67" spans="3:13" s="219" customFormat="1" ht="18" thickBot="1" x14ac:dyDescent="0.4">
      <c r="C67" s="256" t="s">
        <v>40</v>
      </c>
      <c r="D67" s="257" t="s">
        <v>39</v>
      </c>
      <c r="E67" s="257"/>
      <c r="F67" s="258" t="s">
        <v>39</v>
      </c>
      <c r="G67" s="259" t="s">
        <v>104</v>
      </c>
      <c r="H67" s="260" t="s">
        <v>106</v>
      </c>
    </row>
    <row r="68" spans="3:13" x14ac:dyDescent="0.3">
      <c r="C68" s="222" t="s">
        <v>57</v>
      </c>
      <c r="D68" s="210">
        <v>495262</v>
      </c>
      <c r="E68" s="210"/>
      <c r="F68" s="210">
        <f>+E68+D68</f>
        <v>495262</v>
      </c>
      <c r="G68" s="210" t="s">
        <v>107</v>
      </c>
      <c r="H68" s="238"/>
    </row>
    <row r="69" spans="3:13" x14ac:dyDescent="0.3">
      <c r="C69" s="223" t="s">
        <v>58</v>
      </c>
      <c r="D69" s="206">
        <v>287000</v>
      </c>
      <c r="E69" s="206"/>
      <c r="F69" s="206">
        <f t="shared" ref="F69:F74" si="3">+E69+D69</f>
        <v>287000</v>
      </c>
      <c r="G69" s="206" t="s">
        <v>107</v>
      </c>
      <c r="H69" s="233"/>
    </row>
    <row r="70" spans="3:13" s="219" customFormat="1" x14ac:dyDescent="0.3">
      <c r="C70" s="223" t="s">
        <v>59</v>
      </c>
      <c r="D70" s="206">
        <v>4531320</v>
      </c>
      <c r="E70" s="206"/>
      <c r="F70" s="206">
        <f t="shared" si="3"/>
        <v>4531320</v>
      </c>
      <c r="G70" s="206" t="s">
        <v>107</v>
      </c>
      <c r="H70" s="233"/>
    </row>
    <row r="71" spans="3:13" x14ac:dyDescent="0.3">
      <c r="C71" s="223" t="s">
        <v>60</v>
      </c>
      <c r="D71" s="206">
        <v>142000</v>
      </c>
      <c r="E71" s="206"/>
      <c r="F71" s="206">
        <f t="shared" si="3"/>
        <v>142000</v>
      </c>
      <c r="G71" s="206" t="s">
        <v>107</v>
      </c>
      <c r="H71" s="233"/>
    </row>
    <row r="72" spans="3:13" x14ac:dyDescent="0.3">
      <c r="C72" s="223" t="s">
        <v>110</v>
      </c>
      <c r="D72" s="224">
        <v>553000</v>
      </c>
      <c r="E72" s="224"/>
      <c r="F72" s="224">
        <f t="shared" si="3"/>
        <v>553000</v>
      </c>
      <c r="G72" s="224" t="s">
        <v>107</v>
      </c>
      <c r="H72" s="244"/>
    </row>
    <row r="73" spans="3:13" x14ac:dyDescent="0.3">
      <c r="C73" s="223" t="s">
        <v>28</v>
      </c>
      <c r="D73" s="206">
        <v>2500000</v>
      </c>
      <c r="E73" s="206"/>
      <c r="F73" s="206">
        <f t="shared" si="3"/>
        <v>2500000</v>
      </c>
      <c r="G73" s="206" t="s">
        <v>107</v>
      </c>
      <c r="H73" s="233"/>
    </row>
    <row r="74" spans="3:13" x14ac:dyDescent="0.3">
      <c r="C74" s="223" t="s">
        <v>113</v>
      </c>
      <c r="D74" s="206">
        <v>40000</v>
      </c>
      <c r="E74" s="206"/>
      <c r="F74" s="206">
        <f t="shared" si="3"/>
        <v>40000</v>
      </c>
      <c r="G74" s="206" t="s">
        <v>107</v>
      </c>
      <c r="H74" s="233"/>
    </row>
    <row r="75" spans="3:13" x14ac:dyDescent="0.3">
      <c r="C75" s="223" t="s">
        <v>247</v>
      </c>
      <c r="D75" s="206">
        <v>2500000</v>
      </c>
      <c r="E75" s="208"/>
      <c r="F75" s="206">
        <f t="shared" ref="F75" si="4">+E75+D75</f>
        <v>2500000</v>
      </c>
      <c r="G75" s="206" t="s">
        <v>107</v>
      </c>
      <c r="H75" s="233"/>
    </row>
    <row r="76" spans="3:13" ht="14.5" thickBot="1" x14ac:dyDescent="0.35">
      <c r="C76" s="225"/>
      <c r="D76" s="208"/>
      <c r="E76" s="208"/>
      <c r="F76" s="208"/>
      <c r="G76" s="206"/>
      <c r="H76" s="235"/>
    </row>
    <row r="77" spans="3:13" ht="18" thickBot="1" x14ac:dyDescent="0.4">
      <c r="C77" s="476" t="s">
        <v>10</v>
      </c>
      <c r="D77" s="477">
        <f>SUM(D68:D76)</f>
        <v>11048582</v>
      </c>
      <c r="E77" s="477"/>
      <c r="F77" s="477">
        <f>SUM(F68:F76)</f>
        <v>11048582</v>
      </c>
      <c r="G77" s="477"/>
      <c r="H77" s="478"/>
    </row>
    <row r="78" spans="3:13" x14ac:dyDescent="0.3">
      <c r="C78" s="473"/>
      <c r="D78" s="474"/>
      <c r="E78" s="474"/>
      <c r="F78" s="474"/>
      <c r="G78" s="204"/>
      <c r="H78" s="475"/>
    </row>
    <row r="79" spans="3:13" ht="14.5" thickBot="1" x14ac:dyDescent="0.35">
      <c r="C79" s="225"/>
      <c r="D79" s="208"/>
      <c r="E79" s="208"/>
      <c r="F79" s="208"/>
      <c r="G79" s="208"/>
      <c r="H79" s="235"/>
    </row>
    <row r="80" spans="3:13" ht="15.5" thickBot="1" x14ac:dyDescent="0.35">
      <c r="C80" s="624" t="s">
        <v>267</v>
      </c>
      <c r="D80" s="625"/>
      <c r="E80" s="625"/>
      <c r="F80" s="625"/>
      <c r="G80" s="625"/>
      <c r="H80" s="626"/>
    </row>
    <row r="81" spans="3:8" ht="14.5" x14ac:dyDescent="0.35">
      <c r="C81" s="538" t="s">
        <v>114</v>
      </c>
      <c r="D81" s="539">
        <v>100000</v>
      </c>
      <c r="E81" s="539"/>
      <c r="F81" s="539">
        <f>+E81+D81</f>
        <v>100000</v>
      </c>
      <c r="G81" s="540" t="s">
        <v>107</v>
      </c>
      <c r="H81" s="541"/>
    </row>
    <row r="82" spans="3:8" ht="14.5" x14ac:dyDescent="0.35">
      <c r="C82" s="531" t="s">
        <v>254</v>
      </c>
      <c r="D82" s="535">
        <v>275000</v>
      </c>
      <c r="E82" s="532"/>
      <c r="F82" s="533">
        <f t="shared" ref="F82:F93" si="5">+E82+D82</f>
        <v>275000</v>
      </c>
      <c r="G82" s="533" t="s">
        <v>107</v>
      </c>
      <c r="H82" s="534"/>
    </row>
    <row r="83" spans="3:8" ht="14.5" x14ac:dyDescent="0.35">
      <c r="C83" s="531" t="s">
        <v>298</v>
      </c>
      <c r="D83" s="535">
        <v>-225000</v>
      </c>
      <c r="E83" s="532"/>
      <c r="F83" s="535">
        <v>-225000</v>
      </c>
      <c r="G83" s="533" t="s">
        <v>107</v>
      </c>
      <c r="H83" s="534"/>
    </row>
    <row r="84" spans="3:8" ht="14.5" x14ac:dyDescent="0.35">
      <c r="C84" s="531" t="s">
        <v>251</v>
      </c>
      <c r="D84" s="535">
        <v>4316800</v>
      </c>
      <c r="E84" s="532"/>
      <c r="F84" s="533">
        <f t="shared" si="5"/>
        <v>4316800</v>
      </c>
      <c r="G84" s="533" t="s">
        <v>17</v>
      </c>
      <c r="H84" s="534"/>
    </row>
    <row r="85" spans="3:8" ht="14.5" x14ac:dyDescent="0.35">
      <c r="C85" s="536" t="s">
        <v>265</v>
      </c>
      <c r="D85" s="537">
        <v>50000</v>
      </c>
      <c r="E85" s="532"/>
      <c r="F85" s="532">
        <f t="shared" si="5"/>
        <v>50000</v>
      </c>
      <c r="G85" s="532" t="s">
        <v>107</v>
      </c>
      <c r="H85" s="534"/>
    </row>
    <row r="86" spans="3:8" ht="14.5" x14ac:dyDescent="0.35">
      <c r="C86" s="536" t="s">
        <v>266</v>
      </c>
      <c r="D86" s="537">
        <v>31988</v>
      </c>
      <c r="E86" s="532"/>
      <c r="F86" s="532">
        <f t="shared" si="5"/>
        <v>31988</v>
      </c>
      <c r="G86" s="532" t="s">
        <v>107</v>
      </c>
      <c r="H86" s="534"/>
    </row>
    <row r="87" spans="3:8" ht="14.5" x14ac:dyDescent="0.35">
      <c r="C87" s="536" t="s">
        <v>178</v>
      </c>
      <c r="D87" s="537">
        <v>500000</v>
      </c>
      <c r="E87" s="532"/>
      <c r="F87" s="532">
        <f t="shared" ref="F87" si="6">+E87+D87</f>
        <v>500000</v>
      </c>
      <c r="G87" s="532" t="s">
        <v>107</v>
      </c>
      <c r="H87" s="534" t="s">
        <v>303</v>
      </c>
    </row>
    <row r="88" spans="3:8" ht="14.5" x14ac:dyDescent="0.35">
      <c r="C88" s="536" t="s">
        <v>295</v>
      </c>
      <c r="D88" s="537">
        <v>2100000</v>
      </c>
      <c r="E88" s="532"/>
      <c r="F88" s="532">
        <f t="shared" si="5"/>
        <v>2100000</v>
      </c>
      <c r="G88" s="532" t="s">
        <v>107</v>
      </c>
      <c r="H88" s="534"/>
    </row>
    <row r="89" spans="3:8" ht="14.5" x14ac:dyDescent="0.35">
      <c r="C89" s="536" t="s">
        <v>296</v>
      </c>
      <c r="D89" s="537">
        <v>5000000</v>
      </c>
      <c r="E89" s="532"/>
      <c r="F89" s="532">
        <f t="shared" si="5"/>
        <v>5000000</v>
      </c>
      <c r="G89" s="532" t="s">
        <v>107</v>
      </c>
      <c r="H89" s="534"/>
    </row>
    <row r="90" spans="3:8" ht="14.5" x14ac:dyDescent="0.35">
      <c r="C90" s="536" t="s">
        <v>297</v>
      </c>
      <c r="D90" s="537">
        <v>2000000</v>
      </c>
      <c r="E90" s="532"/>
      <c r="F90" s="532">
        <f t="shared" si="5"/>
        <v>2000000</v>
      </c>
      <c r="G90" s="532" t="s">
        <v>107</v>
      </c>
      <c r="H90" s="534"/>
    </row>
    <row r="91" spans="3:8" ht="14.5" x14ac:dyDescent="0.35">
      <c r="C91" s="536" t="s">
        <v>178</v>
      </c>
      <c r="D91" s="537">
        <v>450000</v>
      </c>
      <c r="E91" s="532"/>
      <c r="F91" s="532">
        <f t="shared" si="5"/>
        <v>450000</v>
      </c>
      <c r="G91" s="532" t="s">
        <v>107</v>
      </c>
      <c r="H91" s="534"/>
    </row>
    <row r="92" spans="3:8" ht="14.5" x14ac:dyDescent="0.35">
      <c r="C92" s="536" t="s">
        <v>300</v>
      </c>
      <c r="D92" s="537">
        <v>13001396</v>
      </c>
      <c r="E92" s="532"/>
      <c r="F92" s="532">
        <f t="shared" si="5"/>
        <v>13001396</v>
      </c>
      <c r="G92" s="532" t="s">
        <v>107</v>
      </c>
      <c r="H92" s="534"/>
    </row>
    <row r="93" spans="3:8" ht="14.5" x14ac:dyDescent="0.35">
      <c r="C93" s="536" t="s">
        <v>304</v>
      </c>
      <c r="D93" s="537">
        <v>1133568</v>
      </c>
      <c r="E93" s="532"/>
      <c r="F93" s="532">
        <f t="shared" si="5"/>
        <v>1133568</v>
      </c>
      <c r="G93" s="532" t="s">
        <v>107</v>
      </c>
      <c r="H93" s="534" t="s">
        <v>303</v>
      </c>
    </row>
    <row r="94" spans="3:8" ht="14.5" x14ac:dyDescent="0.35">
      <c r="C94" s="536"/>
      <c r="D94" s="537"/>
      <c r="E94" s="532"/>
      <c r="F94" s="532"/>
      <c r="G94" s="532"/>
      <c r="H94" s="534"/>
    </row>
    <row r="95" spans="3:8" ht="14.5" thickBot="1" x14ac:dyDescent="0.35">
      <c r="C95" s="225"/>
      <c r="D95" s="208"/>
      <c r="E95" s="208"/>
      <c r="F95" s="208"/>
      <c r="G95" s="208"/>
      <c r="H95" s="235"/>
    </row>
    <row r="96" spans="3:8" ht="18" thickBot="1" x14ac:dyDescent="0.4">
      <c r="C96" s="388" t="s">
        <v>10</v>
      </c>
      <c r="D96" s="389">
        <f>SUM(D81:D95)</f>
        <v>28733752</v>
      </c>
      <c r="E96" s="389"/>
      <c r="F96" s="389">
        <f>SUM(F81:F95)</f>
        <v>28733752</v>
      </c>
      <c r="G96" s="389"/>
      <c r="H96" s="390"/>
    </row>
    <row r="97" spans="3:8" ht="14.5" thickBot="1" x14ac:dyDescent="0.35">
      <c r="C97" s="217"/>
      <c r="D97" s="218"/>
      <c r="E97" s="218"/>
      <c r="F97" s="218"/>
      <c r="G97" s="218"/>
      <c r="H97" s="243"/>
    </row>
    <row r="98" spans="3:8" s="265" customFormat="1" ht="22.5" customHeight="1" thickBot="1" x14ac:dyDescent="0.4">
      <c r="C98" s="261" t="s">
        <v>112</v>
      </c>
      <c r="D98" s="262"/>
      <c r="E98" s="262"/>
      <c r="F98" s="263">
        <f>+F63+F77+F96</f>
        <v>388985034</v>
      </c>
      <c r="G98" s="262"/>
      <c r="H98" s="264"/>
    </row>
    <row r="100" spans="3:8" x14ac:dyDescent="0.3">
      <c r="G100" s="220"/>
      <c r="H100" s="220"/>
    </row>
    <row r="102" spans="3:8" x14ac:dyDescent="0.3">
      <c r="G102" s="220"/>
      <c r="H102" s="220"/>
    </row>
    <row r="106" spans="3:8" ht="15" x14ac:dyDescent="0.3">
      <c r="C106" s="429" t="s">
        <v>197</v>
      </c>
      <c r="D106" s="220"/>
      <c r="E106" s="220"/>
      <c r="F106" s="479">
        <f>+F98-F96</f>
        <v>360251282</v>
      </c>
    </row>
    <row r="107" spans="3:8" x14ac:dyDescent="0.3">
      <c r="C107" s="429" t="s">
        <v>198</v>
      </c>
    </row>
    <row r="108" spans="3:8" x14ac:dyDescent="0.3">
      <c r="C108" s="429" t="s">
        <v>212</v>
      </c>
      <c r="D108" s="220"/>
      <c r="E108" s="220"/>
      <c r="F108" s="221"/>
    </row>
    <row r="112" spans="3:8" x14ac:dyDescent="0.3">
      <c r="C112" s="202" t="s">
        <v>188</v>
      </c>
      <c r="D112" s="209">
        <v>250000000</v>
      </c>
    </row>
    <row r="113" spans="3:4" x14ac:dyDescent="0.3">
      <c r="C113" s="202" t="s">
        <v>194</v>
      </c>
      <c r="D113" s="209">
        <v>2525111</v>
      </c>
    </row>
    <row r="114" spans="3:4" x14ac:dyDescent="0.3">
      <c r="C114" s="202" t="s">
        <v>29</v>
      </c>
      <c r="D114" s="209">
        <v>22889600</v>
      </c>
    </row>
    <row r="115" spans="3:4" x14ac:dyDescent="0.3">
      <c r="C115" s="202" t="s">
        <v>195</v>
      </c>
      <c r="D115" s="209">
        <v>7000000</v>
      </c>
    </row>
    <row r="118" spans="3:4" x14ac:dyDescent="0.3">
      <c r="D118" s="209">
        <f>SUM(D112:D117)</f>
        <v>282414711</v>
      </c>
    </row>
    <row r="119" spans="3:4" x14ac:dyDescent="0.3">
      <c r="D119" s="209">
        <v>297461387</v>
      </c>
    </row>
    <row r="121" spans="3:4" x14ac:dyDescent="0.3">
      <c r="D121" s="209">
        <f>+D119-D118</f>
        <v>15046676</v>
      </c>
    </row>
  </sheetData>
  <mergeCells count="7">
    <mergeCell ref="C2:H2"/>
    <mergeCell ref="C45:H45"/>
    <mergeCell ref="C80:H80"/>
    <mergeCell ref="C66:H66"/>
    <mergeCell ref="C61:E61"/>
    <mergeCell ref="C63:E63"/>
    <mergeCell ref="C62:E6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fitToHeight="2" orientation="portrait" r:id="rId1"/>
  <rowBreaks count="2" manualBreakCount="2">
    <brk id="43" min="2" max="7" man="1"/>
    <brk id="103" min="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O114"/>
  <sheetViews>
    <sheetView view="pageBreakPreview" topLeftCell="A82" zoomScale="85" zoomScaleNormal="100" zoomScaleSheetLayoutView="85" workbookViewId="0">
      <selection activeCell="E114" sqref="E114"/>
    </sheetView>
  </sheetViews>
  <sheetFormatPr defaultRowHeight="14.5" x14ac:dyDescent="0.35"/>
  <cols>
    <col min="2" max="2" width="31.36328125" customWidth="1"/>
    <col min="3" max="3" width="7.7265625" style="1" bestFit="1" customWidth="1"/>
    <col min="4" max="4" width="10.6328125" style="1" customWidth="1"/>
    <col min="5" max="5" width="13.90625" style="313" bestFit="1" customWidth="1"/>
    <col min="6" max="6" width="12" style="284" customWidth="1"/>
    <col min="7" max="8" width="11.1796875" style="284" bestFit="1" customWidth="1"/>
    <col min="9" max="9" width="12.08984375" customWidth="1"/>
    <col min="10" max="10" width="12.453125" bestFit="1" customWidth="1"/>
    <col min="11" max="11" width="11.36328125" bestFit="1" customWidth="1"/>
    <col min="12" max="12" width="12.453125" customWidth="1"/>
    <col min="13" max="13" width="9.81640625" bestFit="1" customWidth="1"/>
    <col min="14" max="14" width="10.453125" bestFit="1" customWidth="1"/>
  </cols>
  <sheetData>
    <row r="2" spans="2:12" ht="15" thickBot="1" x14ac:dyDescent="0.4"/>
    <row r="3" spans="2:12" ht="19" thickBot="1" x14ac:dyDescent="0.5">
      <c r="B3" s="664" t="s">
        <v>156</v>
      </c>
      <c r="C3" s="665"/>
      <c r="D3" s="665"/>
      <c r="E3" s="665"/>
      <c r="F3" s="665"/>
      <c r="G3" s="665"/>
      <c r="H3" s="665"/>
      <c r="I3" s="665"/>
      <c r="J3" s="665"/>
      <c r="K3" s="665"/>
      <c r="L3" s="666"/>
    </row>
    <row r="4" spans="2:12" s="285" customFormat="1" ht="26.5" thickBot="1" x14ac:dyDescent="0.35">
      <c r="B4" s="322" t="s">
        <v>54</v>
      </c>
      <c r="C4" s="323" t="s">
        <v>95</v>
      </c>
      <c r="D4" s="323" t="s">
        <v>149</v>
      </c>
      <c r="E4" s="324" t="s">
        <v>150</v>
      </c>
      <c r="F4" s="324" t="s">
        <v>151</v>
      </c>
      <c r="G4" s="324" t="s">
        <v>149</v>
      </c>
      <c r="H4" s="324" t="s">
        <v>152</v>
      </c>
      <c r="I4" s="325" t="s">
        <v>153</v>
      </c>
      <c r="J4" s="325" t="s">
        <v>154</v>
      </c>
      <c r="K4" s="326" t="s">
        <v>29</v>
      </c>
      <c r="L4" s="327" t="s">
        <v>10</v>
      </c>
    </row>
    <row r="5" spans="2:12" ht="15.5" x14ac:dyDescent="0.35">
      <c r="B5" s="293" t="s">
        <v>93</v>
      </c>
      <c r="C5" s="294">
        <v>316</v>
      </c>
      <c r="D5" s="311">
        <v>7911.3923999999997</v>
      </c>
      <c r="E5" s="435">
        <f>+D5*C5</f>
        <v>2499999.9983999999</v>
      </c>
      <c r="F5" s="295">
        <v>0</v>
      </c>
      <c r="G5" s="295">
        <v>0</v>
      </c>
      <c r="H5" s="295">
        <f>+G5*F5</f>
        <v>0</v>
      </c>
      <c r="I5" s="296">
        <v>0</v>
      </c>
      <c r="J5" s="296">
        <v>2500000</v>
      </c>
      <c r="K5" s="297">
        <v>2500</v>
      </c>
      <c r="L5" s="298">
        <f t="shared" ref="L5:L11" si="0">+SUM(I5:K5)</f>
        <v>2502500</v>
      </c>
    </row>
    <row r="6" spans="2:12" ht="15.5" x14ac:dyDescent="0.35">
      <c r="B6" s="293" t="s">
        <v>94</v>
      </c>
      <c r="C6" s="294">
        <v>405</v>
      </c>
      <c r="D6" s="294">
        <v>10200</v>
      </c>
      <c r="E6" s="435">
        <f t="shared" ref="E6:E11" si="1">+D6*C6</f>
        <v>4131000</v>
      </c>
      <c r="F6" s="295">
        <v>0</v>
      </c>
      <c r="G6" s="295">
        <v>0</v>
      </c>
      <c r="H6" s="295">
        <f t="shared" ref="H6:H11" si="2">+G6*F6</f>
        <v>0</v>
      </c>
      <c r="I6" s="296">
        <v>0</v>
      </c>
      <c r="J6" s="296">
        <v>4131000</v>
      </c>
      <c r="K6" s="297">
        <v>2500</v>
      </c>
      <c r="L6" s="298">
        <f t="shared" si="0"/>
        <v>4133500</v>
      </c>
    </row>
    <row r="7" spans="2:12" ht="15.5" x14ac:dyDescent="0.35">
      <c r="B7" s="293" t="s">
        <v>96</v>
      </c>
      <c r="C7" s="294">
        <v>416</v>
      </c>
      <c r="D7" s="294">
        <v>10200</v>
      </c>
      <c r="E7" s="435">
        <f t="shared" si="1"/>
        <v>4243200</v>
      </c>
      <c r="F7" s="295">
        <v>0</v>
      </c>
      <c r="G7" s="295">
        <v>0</v>
      </c>
      <c r="H7" s="295">
        <f t="shared" si="2"/>
        <v>0</v>
      </c>
      <c r="I7" s="296">
        <v>0</v>
      </c>
      <c r="J7" s="296">
        <v>4243200</v>
      </c>
      <c r="K7" s="297">
        <v>2500</v>
      </c>
      <c r="L7" s="298">
        <f t="shared" si="0"/>
        <v>4245700</v>
      </c>
    </row>
    <row r="8" spans="2:12" ht="15.5" x14ac:dyDescent="0.35">
      <c r="B8" s="293" t="s">
        <v>97</v>
      </c>
      <c r="C8" s="294">
        <v>250</v>
      </c>
      <c r="D8" s="294">
        <v>10500</v>
      </c>
      <c r="E8" s="435">
        <f t="shared" si="1"/>
        <v>2625000</v>
      </c>
      <c r="F8" s="295">
        <v>7500</v>
      </c>
      <c r="G8" s="295">
        <v>1500</v>
      </c>
      <c r="H8" s="295">
        <f t="shared" si="2"/>
        <v>11250000</v>
      </c>
      <c r="I8" s="296">
        <v>0</v>
      </c>
      <c r="J8" s="296">
        <v>13875000</v>
      </c>
      <c r="K8" s="297">
        <v>2500</v>
      </c>
      <c r="L8" s="298">
        <f t="shared" si="0"/>
        <v>13877500</v>
      </c>
    </row>
    <row r="9" spans="2:12" ht="15.5" x14ac:dyDescent="0.35">
      <c r="B9" s="293" t="s">
        <v>98</v>
      </c>
      <c r="C9" s="294">
        <v>260</v>
      </c>
      <c r="D9" s="294">
        <v>10500</v>
      </c>
      <c r="E9" s="435">
        <f t="shared" si="1"/>
        <v>2730000</v>
      </c>
      <c r="F9" s="295">
        <v>2340</v>
      </c>
      <c r="G9" s="295">
        <v>1500</v>
      </c>
      <c r="H9" s="295">
        <f t="shared" si="2"/>
        <v>3510000</v>
      </c>
      <c r="I9" s="296">
        <v>0</v>
      </c>
      <c r="J9" s="296">
        <v>6240000</v>
      </c>
      <c r="K9" s="297">
        <v>2500</v>
      </c>
      <c r="L9" s="298">
        <f t="shared" si="0"/>
        <v>6242500</v>
      </c>
    </row>
    <row r="10" spans="2:12" ht="15.5" x14ac:dyDescent="0.35">
      <c r="B10" s="293" t="s">
        <v>99</v>
      </c>
      <c r="C10" s="294">
        <v>225</v>
      </c>
      <c r="D10" s="294">
        <v>9000</v>
      </c>
      <c r="E10" s="435">
        <f t="shared" si="1"/>
        <v>2025000</v>
      </c>
      <c r="F10" s="295">
        <v>0</v>
      </c>
      <c r="G10" s="295">
        <v>0</v>
      </c>
      <c r="H10" s="295">
        <f t="shared" si="2"/>
        <v>0</v>
      </c>
      <c r="I10" s="296">
        <v>0</v>
      </c>
      <c r="J10" s="296">
        <v>2025000</v>
      </c>
      <c r="K10" s="297">
        <v>2500</v>
      </c>
      <c r="L10" s="298">
        <f t="shared" si="0"/>
        <v>2027500</v>
      </c>
    </row>
    <row r="11" spans="2:12" ht="15.5" x14ac:dyDescent="0.35">
      <c r="B11" s="293" t="s">
        <v>100</v>
      </c>
      <c r="C11" s="294">
        <v>365</v>
      </c>
      <c r="D11" s="294">
        <v>9650</v>
      </c>
      <c r="E11" s="435">
        <f t="shared" si="1"/>
        <v>3522250</v>
      </c>
      <c r="F11" s="295">
        <v>3285</v>
      </c>
      <c r="G11" s="295">
        <v>1500</v>
      </c>
      <c r="H11" s="295">
        <f t="shared" si="2"/>
        <v>4927500</v>
      </c>
      <c r="I11" s="296">
        <v>0</v>
      </c>
      <c r="J11" s="296">
        <v>8451000</v>
      </c>
      <c r="K11" s="297">
        <v>2500</v>
      </c>
      <c r="L11" s="298">
        <f t="shared" si="0"/>
        <v>8453500</v>
      </c>
    </row>
    <row r="12" spans="2:12" ht="15.5" x14ac:dyDescent="0.35">
      <c r="B12" s="286"/>
      <c r="C12" s="287"/>
      <c r="D12" s="287"/>
      <c r="E12" s="288"/>
      <c r="F12" s="289"/>
      <c r="G12" s="289"/>
      <c r="H12" s="289"/>
      <c r="I12" s="290"/>
      <c r="J12" s="290"/>
      <c r="K12" s="291"/>
      <c r="L12" s="292"/>
    </row>
    <row r="13" spans="2:12" ht="15.5" x14ac:dyDescent="0.35">
      <c r="B13" s="299"/>
      <c r="C13" s="316"/>
      <c r="D13" s="316"/>
      <c r="E13" s="376"/>
      <c r="F13" s="300"/>
      <c r="G13" s="300"/>
      <c r="H13" s="300"/>
      <c r="I13" s="301"/>
      <c r="J13" s="302"/>
      <c r="K13" s="303"/>
      <c r="L13" s="304"/>
    </row>
    <row r="14" spans="2:12" ht="16" thickBot="1" x14ac:dyDescent="0.4">
      <c r="B14" s="305"/>
      <c r="C14" s="306"/>
      <c r="D14" s="306"/>
      <c r="E14" s="312"/>
      <c r="F14" s="307"/>
      <c r="G14" s="307"/>
      <c r="H14" s="307"/>
      <c r="I14" s="308"/>
      <c r="J14" s="308"/>
      <c r="K14" s="309"/>
      <c r="L14" s="310"/>
    </row>
    <row r="15" spans="2:12" ht="19" thickBot="1" x14ac:dyDescent="0.5">
      <c r="B15" s="328" t="s">
        <v>8</v>
      </c>
      <c r="C15" s="329">
        <f>SUM(C5:C14)</f>
        <v>2237</v>
      </c>
      <c r="D15" s="329"/>
      <c r="E15" s="330">
        <f>SUM(E5:E14)</f>
        <v>21776449.998399999</v>
      </c>
      <c r="F15" s="331"/>
      <c r="G15" s="331"/>
      <c r="H15" s="331">
        <f>SUM(H5:H14)</f>
        <v>19687500</v>
      </c>
      <c r="I15" s="332">
        <f>SUM(I5:I14)</f>
        <v>0</v>
      </c>
      <c r="J15" s="332">
        <f>SUM(J5:J14)</f>
        <v>41465200</v>
      </c>
      <c r="K15" s="333">
        <f>SUM(K5:K14)</f>
        <v>17500</v>
      </c>
      <c r="L15" s="334">
        <f>SUM(L5:L14)</f>
        <v>41482700</v>
      </c>
    </row>
    <row r="18" spans="2:15" ht="15" thickBot="1" x14ac:dyDescent="0.4"/>
    <row r="19" spans="2:15" ht="19" thickBot="1" x14ac:dyDescent="0.5">
      <c r="B19" s="664" t="s">
        <v>155</v>
      </c>
      <c r="C19" s="665"/>
      <c r="D19" s="665"/>
      <c r="E19" s="665"/>
      <c r="F19" s="665"/>
      <c r="G19" s="665"/>
      <c r="H19" s="665"/>
      <c r="I19" s="666"/>
    </row>
    <row r="20" spans="2:15" ht="26.5" thickBot="1" x14ac:dyDescent="0.4">
      <c r="B20" s="322" t="s">
        <v>54</v>
      </c>
      <c r="C20" s="324" t="s">
        <v>157</v>
      </c>
      <c r="D20" s="323" t="s">
        <v>149</v>
      </c>
      <c r="E20" s="324" t="s">
        <v>150</v>
      </c>
      <c r="F20" s="325" t="s">
        <v>153</v>
      </c>
      <c r="G20" s="325" t="s">
        <v>154</v>
      </c>
      <c r="H20" s="326" t="s">
        <v>29</v>
      </c>
      <c r="I20" s="327" t="s">
        <v>10</v>
      </c>
    </row>
    <row r="21" spans="2:15" x14ac:dyDescent="0.35">
      <c r="B21" s="112"/>
      <c r="C21" s="74"/>
      <c r="D21" s="74"/>
      <c r="E21" s="319"/>
      <c r="F21" s="74"/>
      <c r="G21" s="74"/>
      <c r="H21" s="74"/>
      <c r="I21" s="75"/>
    </row>
    <row r="22" spans="2:15" ht="15.5" x14ac:dyDescent="0.35">
      <c r="B22" s="293" t="s">
        <v>190</v>
      </c>
      <c r="C22" s="296">
        <v>8</v>
      </c>
      <c r="D22" s="296">
        <f>+I22/C22</f>
        <v>5875000</v>
      </c>
      <c r="E22" s="436">
        <f>+D22*C22</f>
        <v>47000000</v>
      </c>
      <c r="F22" s="296">
        <v>7000000</v>
      </c>
      <c r="G22" s="296">
        <v>40000000</v>
      </c>
      <c r="H22" s="296">
        <v>0</v>
      </c>
      <c r="I22" s="314">
        <f>+SUM(F22:H22)</f>
        <v>47000000</v>
      </c>
    </row>
    <row r="23" spans="2:15" ht="15.5" x14ac:dyDescent="0.35">
      <c r="B23" s="293" t="s">
        <v>191</v>
      </c>
      <c r="C23" s="296">
        <v>4</v>
      </c>
      <c r="D23" s="296">
        <v>4000000</v>
      </c>
      <c r="E23" s="436">
        <f>+D23*C23</f>
        <v>16000000</v>
      </c>
      <c r="F23" s="296">
        <v>0</v>
      </c>
      <c r="G23" s="296">
        <v>16000000</v>
      </c>
      <c r="H23" s="296">
        <v>0</v>
      </c>
      <c r="I23" s="314">
        <f>+SUM(F23:H23)</f>
        <v>16000000</v>
      </c>
      <c r="O23">
        <v>146100000</v>
      </c>
    </row>
    <row r="24" spans="2:15" s="87" customFormat="1" ht="46.5" x14ac:dyDescent="0.35">
      <c r="B24" s="299" t="s">
        <v>193</v>
      </c>
      <c r="C24" s="317">
        <v>3</v>
      </c>
      <c r="D24" s="317">
        <v>3500000</v>
      </c>
      <c r="E24" s="437">
        <f>+D24*C24</f>
        <v>10500000</v>
      </c>
      <c r="F24" s="302">
        <v>0</v>
      </c>
      <c r="G24" s="302">
        <v>7000000</v>
      </c>
      <c r="H24" s="302">
        <v>0</v>
      </c>
      <c r="I24" s="315">
        <f>+SUM(F24:H24)</f>
        <v>7000000</v>
      </c>
      <c r="O24" s="87">
        <v>66500000</v>
      </c>
    </row>
    <row r="25" spans="2:15" ht="15.5" x14ac:dyDescent="0.35">
      <c r="B25" s="293" t="s">
        <v>192</v>
      </c>
      <c r="C25" s="73">
        <v>1</v>
      </c>
      <c r="D25" s="317">
        <v>3500000</v>
      </c>
      <c r="E25" s="437">
        <f>+D25*C25</f>
        <v>3500000</v>
      </c>
      <c r="F25" s="302">
        <v>0</v>
      </c>
      <c r="G25" s="302">
        <v>3500000</v>
      </c>
      <c r="H25" s="302">
        <v>0</v>
      </c>
      <c r="I25" s="315">
        <f>+SUM(F25:H25)</f>
        <v>3500000</v>
      </c>
      <c r="N25" t="s">
        <v>29</v>
      </c>
      <c r="O25">
        <v>2708749</v>
      </c>
    </row>
    <row r="26" spans="2:15" x14ac:dyDescent="0.35">
      <c r="B26" s="113"/>
      <c r="C26" s="73"/>
      <c r="D26" s="73"/>
      <c r="E26" s="320"/>
      <c r="F26" s="73"/>
      <c r="G26" s="73"/>
      <c r="H26" s="73"/>
      <c r="I26" s="13"/>
      <c r="N26" t="s">
        <v>188</v>
      </c>
      <c r="O26">
        <v>2500000</v>
      </c>
    </row>
    <row r="27" spans="2:15" ht="15" thickBot="1" x14ac:dyDescent="0.4">
      <c r="B27" s="114"/>
      <c r="C27" s="80"/>
      <c r="D27" s="80"/>
      <c r="E27" s="321"/>
      <c r="F27" s="80"/>
      <c r="G27" s="80"/>
      <c r="H27" s="80"/>
      <c r="I27" s="177"/>
      <c r="N27" t="s">
        <v>189</v>
      </c>
      <c r="O27">
        <v>70000</v>
      </c>
    </row>
    <row r="28" spans="2:15" s="318" customFormat="1" ht="17.5" thickBot="1" x14ac:dyDescent="0.45">
      <c r="B28" s="335" t="s">
        <v>8</v>
      </c>
      <c r="C28" s="336">
        <f>SUM(C22:C27)</f>
        <v>16</v>
      </c>
      <c r="D28" s="336"/>
      <c r="E28" s="337"/>
      <c r="F28" s="336">
        <f>SUM(F22:F27)</f>
        <v>7000000</v>
      </c>
      <c r="G28" s="438">
        <f>SUM(G22:G27)</f>
        <v>66500000</v>
      </c>
      <c r="H28" s="336"/>
      <c r="I28" s="338">
        <f>SUM(I22:I27)</f>
        <v>73500000</v>
      </c>
    </row>
    <row r="29" spans="2:15" x14ac:dyDescent="0.35">
      <c r="F29"/>
      <c r="G29"/>
      <c r="H29"/>
      <c r="O29">
        <f>SUM(O23:O28)</f>
        <v>217878749</v>
      </c>
    </row>
    <row r="30" spans="2:15" x14ac:dyDescent="0.35">
      <c r="O30">
        <v>215308749</v>
      </c>
    </row>
    <row r="31" spans="2:15" ht="15" thickBot="1" x14ac:dyDescent="0.4"/>
    <row r="32" spans="2:15" ht="19" thickBot="1" x14ac:dyDescent="0.5">
      <c r="B32" s="650" t="s">
        <v>158</v>
      </c>
      <c r="C32" s="651"/>
      <c r="D32" s="651"/>
      <c r="E32" s="651"/>
      <c r="F32" s="651"/>
      <c r="G32" s="651"/>
      <c r="H32" s="651"/>
      <c r="I32" s="652"/>
    </row>
    <row r="33" spans="2:14" s="67" customFormat="1" ht="20" customHeight="1" thickBot="1" x14ac:dyDescent="0.4">
      <c r="B33" s="371" t="s">
        <v>40</v>
      </c>
      <c r="C33" s="372" t="s">
        <v>160</v>
      </c>
      <c r="D33" s="372" t="s">
        <v>149</v>
      </c>
      <c r="E33" s="373" t="s">
        <v>39</v>
      </c>
      <c r="F33" s="656" t="s">
        <v>106</v>
      </c>
      <c r="G33" s="657"/>
      <c r="H33" s="657"/>
      <c r="I33" s="658"/>
    </row>
    <row r="34" spans="2:14" x14ac:dyDescent="0.35">
      <c r="B34" s="339" t="s">
        <v>159</v>
      </c>
      <c r="C34" s="78">
        <v>2325.91</v>
      </c>
      <c r="D34" s="78">
        <v>91.26</v>
      </c>
      <c r="E34" s="377">
        <f>+D34*C34</f>
        <v>212262.5466</v>
      </c>
      <c r="F34" s="662" t="s">
        <v>164</v>
      </c>
      <c r="G34" s="662"/>
      <c r="H34" s="662"/>
      <c r="I34" s="663"/>
    </row>
    <row r="35" spans="2:14" x14ac:dyDescent="0.35">
      <c r="B35" s="113" t="s">
        <v>161</v>
      </c>
      <c r="C35" s="73">
        <v>2</v>
      </c>
      <c r="D35" s="73">
        <v>30000</v>
      </c>
      <c r="E35" s="320">
        <f>+D35*C35</f>
        <v>60000</v>
      </c>
      <c r="F35" s="648" t="s">
        <v>165</v>
      </c>
      <c r="G35" s="648"/>
      <c r="H35" s="648"/>
      <c r="I35" s="649"/>
      <c r="N35">
        <f>+O25-O26-O27</f>
        <v>138749</v>
      </c>
    </row>
    <row r="36" spans="2:14" x14ac:dyDescent="0.35">
      <c r="B36" s="113" t="s">
        <v>162</v>
      </c>
      <c r="C36" s="73">
        <v>2</v>
      </c>
      <c r="D36" s="73">
        <v>80000</v>
      </c>
      <c r="E36" s="320">
        <f>+D36*C36</f>
        <v>160000</v>
      </c>
      <c r="F36" s="648" t="s">
        <v>166</v>
      </c>
      <c r="G36" s="648"/>
      <c r="H36" s="648"/>
      <c r="I36" s="649"/>
    </row>
    <row r="37" spans="2:14" x14ac:dyDescent="0.35">
      <c r="B37" s="113" t="s">
        <v>163</v>
      </c>
      <c r="C37" s="73">
        <v>90</v>
      </c>
      <c r="D37" s="73">
        <v>700</v>
      </c>
      <c r="E37" s="320">
        <f>+D37*C37</f>
        <v>63000</v>
      </c>
      <c r="F37" s="648" t="s">
        <v>167</v>
      </c>
      <c r="G37" s="648"/>
      <c r="H37" s="648"/>
      <c r="I37" s="649"/>
    </row>
    <row r="38" spans="2:14" x14ac:dyDescent="0.35">
      <c r="B38" s="113"/>
      <c r="C38" s="73"/>
      <c r="D38" s="73"/>
      <c r="E38" s="320"/>
      <c r="F38" s="639"/>
      <c r="G38" s="639"/>
      <c r="H38" s="639"/>
      <c r="I38" s="640"/>
    </row>
    <row r="39" spans="2:14" ht="15" thickBot="1" x14ac:dyDescent="0.4">
      <c r="B39" s="114"/>
      <c r="C39" s="80"/>
      <c r="D39" s="80"/>
      <c r="E39" s="321"/>
      <c r="F39" s="641"/>
      <c r="G39" s="641"/>
      <c r="H39" s="641"/>
      <c r="I39" s="642"/>
    </row>
    <row r="40" spans="2:14" s="48" customFormat="1" ht="19" thickBot="1" x14ac:dyDescent="0.5">
      <c r="B40" s="374" t="s">
        <v>8</v>
      </c>
      <c r="C40" s="375"/>
      <c r="D40" s="375"/>
      <c r="E40" s="380">
        <f>SUM(E34:E39)</f>
        <v>495262.5466</v>
      </c>
      <c r="F40" s="646"/>
      <c r="G40" s="646"/>
      <c r="H40" s="646"/>
      <c r="I40" s="647"/>
    </row>
    <row r="42" spans="2:14" ht="15" thickBot="1" x14ac:dyDescent="0.4"/>
    <row r="43" spans="2:14" ht="19" thickBot="1" x14ac:dyDescent="0.5">
      <c r="B43" s="650" t="s">
        <v>168</v>
      </c>
      <c r="C43" s="651"/>
      <c r="D43" s="651"/>
      <c r="E43" s="651"/>
      <c r="F43" s="651"/>
      <c r="G43" s="651"/>
      <c r="H43" s="651"/>
      <c r="I43" s="652"/>
    </row>
    <row r="44" spans="2:14" ht="15" thickBot="1" x14ac:dyDescent="0.4">
      <c r="B44" s="371" t="s">
        <v>40</v>
      </c>
      <c r="C44" s="372" t="s">
        <v>160</v>
      </c>
      <c r="D44" s="372" t="s">
        <v>149</v>
      </c>
      <c r="E44" s="373" t="s">
        <v>39</v>
      </c>
      <c r="F44" s="656" t="s">
        <v>106</v>
      </c>
      <c r="G44" s="657"/>
      <c r="H44" s="657"/>
      <c r="I44" s="658"/>
    </row>
    <row r="45" spans="2:14" x14ac:dyDescent="0.35">
      <c r="B45" s="339"/>
      <c r="C45" s="78"/>
      <c r="D45" s="78"/>
      <c r="E45" s="377"/>
      <c r="F45" s="662"/>
      <c r="G45" s="662"/>
      <c r="H45" s="662"/>
      <c r="I45" s="663"/>
    </row>
    <row r="46" spans="2:14" x14ac:dyDescent="0.35">
      <c r="B46" s="378">
        <v>45413</v>
      </c>
      <c r="C46" s="73">
        <v>255</v>
      </c>
      <c r="D46" s="73">
        <v>500</v>
      </c>
      <c r="E46" s="320">
        <f>+D46*C46</f>
        <v>127500</v>
      </c>
      <c r="F46" s="648" t="s">
        <v>171</v>
      </c>
      <c r="G46" s="648"/>
      <c r="H46" s="648"/>
      <c r="I46" s="649"/>
    </row>
    <row r="47" spans="2:14" x14ac:dyDescent="0.35">
      <c r="B47" s="378">
        <v>45444</v>
      </c>
      <c r="C47" s="73">
        <v>169</v>
      </c>
      <c r="D47" s="73">
        <v>500</v>
      </c>
      <c r="E47" s="320">
        <f t="shared" ref="E47:E48" si="3">+D47*C47</f>
        <v>84500</v>
      </c>
      <c r="F47" s="648" t="s">
        <v>170</v>
      </c>
      <c r="G47" s="648"/>
      <c r="H47" s="648"/>
      <c r="I47" s="649"/>
    </row>
    <row r="48" spans="2:14" x14ac:dyDescent="0.35">
      <c r="B48" s="378">
        <v>45474</v>
      </c>
      <c r="C48" s="73">
        <v>150</v>
      </c>
      <c r="D48" s="73">
        <v>500</v>
      </c>
      <c r="E48" s="320">
        <f t="shared" si="3"/>
        <v>75000</v>
      </c>
      <c r="F48" s="648" t="s">
        <v>169</v>
      </c>
      <c r="G48" s="648"/>
      <c r="H48" s="648"/>
      <c r="I48" s="649"/>
    </row>
    <row r="49" spans="2:9" x14ac:dyDescent="0.35">
      <c r="B49" s="113"/>
      <c r="C49" s="73"/>
      <c r="D49" s="73"/>
      <c r="E49" s="320"/>
      <c r="F49" s="639"/>
      <c r="G49" s="639"/>
      <c r="H49" s="639"/>
      <c r="I49" s="640"/>
    </row>
    <row r="50" spans="2:9" ht="15" thickBot="1" x14ac:dyDescent="0.4">
      <c r="B50" s="114"/>
      <c r="C50" s="80"/>
      <c r="D50" s="80"/>
      <c r="E50" s="321"/>
      <c r="F50" s="641"/>
      <c r="G50" s="641"/>
      <c r="H50" s="641"/>
      <c r="I50" s="642"/>
    </row>
    <row r="51" spans="2:9" ht="19" thickBot="1" x14ac:dyDescent="0.5">
      <c r="B51" s="374" t="s">
        <v>8</v>
      </c>
      <c r="C51" s="375"/>
      <c r="D51" s="375"/>
      <c r="E51" s="380">
        <f>SUM(E45:E50)</f>
        <v>287000</v>
      </c>
      <c r="F51" s="646"/>
      <c r="G51" s="646"/>
      <c r="H51" s="646"/>
      <c r="I51" s="647"/>
    </row>
    <row r="53" spans="2:9" ht="15" thickBot="1" x14ac:dyDescent="0.4"/>
    <row r="54" spans="2:9" ht="19" thickBot="1" x14ac:dyDescent="0.5">
      <c r="B54" s="650" t="s">
        <v>183</v>
      </c>
      <c r="C54" s="651"/>
      <c r="D54" s="651"/>
      <c r="E54" s="651"/>
      <c r="F54" s="651"/>
      <c r="G54" s="651"/>
      <c r="H54" s="651"/>
      <c r="I54" s="652"/>
    </row>
    <row r="55" spans="2:9" ht="15" thickBot="1" x14ac:dyDescent="0.4">
      <c r="B55" s="653" t="s">
        <v>40</v>
      </c>
      <c r="C55" s="654"/>
      <c r="D55" s="655"/>
      <c r="E55" s="373" t="s">
        <v>39</v>
      </c>
      <c r="F55" s="656" t="s">
        <v>106</v>
      </c>
      <c r="G55" s="657"/>
      <c r="H55" s="657"/>
      <c r="I55" s="658"/>
    </row>
    <row r="56" spans="2:9" x14ac:dyDescent="0.35">
      <c r="B56" s="659"/>
      <c r="C56" s="660"/>
      <c r="D56" s="661"/>
      <c r="E56" s="377"/>
      <c r="F56" s="662"/>
      <c r="G56" s="662"/>
      <c r="H56" s="662"/>
      <c r="I56" s="663"/>
    </row>
    <row r="57" spans="2:9" x14ac:dyDescent="0.35">
      <c r="B57" s="636" t="s">
        <v>185</v>
      </c>
      <c r="C57" s="637"/>
      <c r="D57" s="638"/>
      <c r="E57" s="320">
        <v>21000</v>
      </c>
      <c r="F57" s="648"/>
      <c r="G57" s="648"/>
      <c r="H57" s="648"/>
      <c r="I57" s="649"/>
    </row>
    <row r="58" spans="2:9" x14ac:dyDescent="0.35">
      <c r="B58" s="636" t="s">
        <v>186</v>
      </c>
      <c r="C58" s="637"/>
      <c r="D58" s="638"/>
      <c r="E58" s="320">
        <v>63000</v>
      </c>
      <c r="F58" s="648"/>
      <c r="G58" s="648"/>
      <c r="H58" s="648"/>
      <c r="I58" s="649"/>
    </row>
    <row r="59" spans="2:9" x14ac:dyDescent="0.35">
      <c r="B59" s="636" t="s">
        <v>187</v>
      </c>
      <c r="C59" s="637"/>
      <c r="D59" s="638"/>
      <c r="E59" s="320">
        <v>40000</v>
      </c>
      <c r="F59" s="648"/>
      <c r="G59" s="648"/>
      <c r="H59" s="648"/>
      <c r="I59" s="649"/>
    </row>
    <row r="60" spans="2:9" x14ac:dyDescent="0.35">
      <c r="B60" s="636" t="s">
        <v>201</v>
      </c>
      <c r="C60" s="637"/>
      <c r="D60" s="638"/>
      <c r="E60" s="320">
        <v>11000</v>
      </c>
      <c r="F60" s="648"/>
      <c r="G60" s="648"/>
      <c r="H60" s="648"/>
      <c r="I60" s="649"/>
    </row>
    <row r="61" spans="2:9" x14ac:dyDescent="0.35">
      <c r="B61" s="636" t="s">
        <v>201</v>
      </c>
      <c r="C61" s="637"/>
      <c r="D61" s="638"/>
      <c r="E61" s="320">
        <v>5000</v>
      </c>
      <c r="F61" s="648"/>
      <c r="G61" s="648"/>
      <c r="H61" s="648"/>
      <c r="I61" s="649"/>
    </row>
    <row r="62" spans="2:9" x14ac:dyDescent="0.35">
      <c r="B62" s="636" t="s">
        <v>202</v>
      </c>
      <c r="C62" s="637"/>
      <c r="D62" s="638"/>
      <c r="E62" s="320">
        <v>2000</v>
      </c>
      <c r="F62" s="648"/>
      <c r="G62" s="648"/>
      <c r="H62" s="648"/>
      <c r="I62" s="649"/>
    </row>
    <row r="63" spans="2:9" x14ac:dyDescent="0.35">
      <c r="B63" s="636"/>
      <c r="C63" s="637"/>
      <c r="D63" s="638"/>
      <c r="E63" s="320"/>
      <c r="F63" s="639"/>
      <c r="G63" s="639"/>
      <c r="H63" s="639"/>
      <c r="I63" s="640"/>
    </row>
    <row r="64" spans="2:9" ht="15" thickBot="1" x14ac:dyDescent="0.4">
      <c r="B64" s="636"/>
      <c r="C64" s="637"/>
      <c r="D64" s="638"/>
      <c r="E64" s="321"/>
      <c r="F64" s="641"/>
      <c r="G64" s="641"/>
      <c r="H64" s="641"/>
      <c r="I64" s="642"/>
    </row>
    <row r="65" spans="2:9" ht="16" thickBot="1" x14ac:dyDescent="0.4">
      <c r="B65" s="643" t="s">
        <v>8</v>
      </c>
      <c r="C65" s="644"/>
      <c r="D65" s="645"/>
      <c r="E65" s="379">
        <f>SUM(E56:E64)</f>
        <v>142000</v>
      </c>
      <c r="F65" s="646"/>
      <c r="G65" s="646"/>
      <c r="H65" s="646"/>
      <c r="I65" s="647"/>
    </row>
    <row r="66" spans="2:9" ht="15" thickBot="1" x14ac:dyDescent="0.4"/>
    <row r="67" spans="2:9" ht="19" thickBot="1" x14ac:dyDescent="0.5">
      <c r="B67" s="650" t="s">
        <v>184</v>
      </c>
      <c r="C67" s="651"/>
      <c r="D67" s="651"/>
      <c r="E67" s="651"/>
      <c r="F67" s="651"/>
      <c r="G67" s="651"/>
      <c r="H67" s="651"/>
      <c r="I67" s="652"/>
    </row>
    <row r="68" spans="2:9" ht="15" thickBot="1" x14ac:dyDescent="0.4">
      <c r="B68" s="653" t="s">
        <v>40</v>
      </c>
      <c r="C68" s="654"/>
      <c r="D68" s="655"/>
      <c r="E68" s="373" t="s">
        <v>39</v>
      </c>
      <c r="F68" s="656" t="s">
        <v>106</v>
      </c>
      <c r="G68" s="657"/>
      <c r="H68" s="657"/>
      <c r="I68" s="658"/>
    </row>
    <row r="69" spans="2:9" x14ac:dyDescent="0.35">
      <c r="B69" s="659"/>
      <c r="C69" s="660"/>
      <c r="D69" s="661"/>
      <c r="E69" s="377"/>
      <c r="F69" s="662"/>
      <c r="G69" s="662"/>
      <c r="H69" s="662"/>
      <c r="I69" s="663"/>
    </row>
    <row r="70" spans="2:9" x14ac:dyDescent="0.35">
      <c r="B70" s="636" t="s">
        <v>172</v>
      </c>
      <c r="C70" s="637"/>
      <c r="D70" s="638"/>
      <c r="E70" s="320">
        <v>66000</v>
      </c>
      <c r="F70" s="648"/>
      <c r="G70" s="648"/>
      <c r="H70" s="648"/>
      <c r="I70" s="649"/>
    </row>
    <row r="71" spans="2:9" x14ac:dyDescent="0.35">
      <c r="B71" s="636" t="s">
        <v>173</v>
      </c>
      <c r="C71" s="637"/>
      <c r="D71" s="638"/>
      <c r="E71" s="320">
        <v>15320</v>
      </c>
      <c r="F71" s="648"/>
      <c r="G71" s="648"/>
      <c r="H71" s="648"/>
      <c r="I71" s="649"/>
    </row>
    <row r="72" spans="2:9" x14ac:dyDescent="0.35">
      <c r="B72" s="636" t="s">
        <v>174</v>
      </c>
      <c r="C72" s="637"/>
      <c r="D72" s="638"/>
      <c r="E72" s="320">
        <v>100000</v>
      </c>
      <c r="F72" s="648"/>
      <c r="G72" s="648"/>
      <c r="H72" s="648"/>
      <c r="I72" s="649"/>
    </row>
    <row r="73" spans="2:9" x14ac:dyDescent="0.35">
      <c r="B73" s="636" t="s">
        <v>175</v>
      </c>
      <c r="C73" s="637"/>
      <c r="D73" s="638"/>
      <c r="E73" s="320">
        <v>50000</v>
      </c>
      <c r="F73" s="648"/>
      <c r="G73" s="648"/>
      <c r="H73" s="648"/>
      <c r="I73" s="649"/>
    </row>
    <row r="74" spans="2:9" x14ac:dyDescent="0.35">
      <c r="B74" s="636" t="s">
        <v>176</v>
      </c>
      <c r="C74" s="637"/>
      <c r="D74" s="638"/>
      <c r="E74" s="320">
        <v>520000</v>
      </c>
      <c r="F74" s="648"/>
      <c r="G74" s="648"/>
      <c r="H74" s="648"/>
      <c r="I74" s="649"/>
    </row>
    <row r="75" spans="2:9" x14ac:dyDescent="0.35">
      <c r="B75" s="636" t="s">
        <v>177</v>
      </c>
      <c r="C75" s="637"/>
      <c r="D75" s="638"/>
      <c r="E75" s="320">
        <v>280000</v>
      </c>
      <c r="F75" s="648"/>
      <c r="G75" s="648"/>
      <c r="H75" s="648"/>
      <c r="I75" s="649"/>
    </row>
    <row r="76" spans="2:9" x14ac:dyDescent="0.35">
      <c r="B76" s="636" t="s">
        <v>178</v>
      </c>
      <c r="C76" s="637"/>
      <c r="D76" s="638"/>
      <c r="E76" s="320">
        <v>1000000</v>
      </c>
      <c r="F76" s="648" t="s">
        <v>182</v>
      </c>
      <c r="G76" s="648"/>
      <c r="H76" s="648"/>
      <c r="I76" s="649"/>
    </row>
    <row r="77" spans="2:9" x14ac:dyDescent="0.35">
      <c r="B77" s="636" t="s">
        <v>179</v>
      </c>
      <c r="C77" s="637"/>
      <c r="D77" s="638"/>
      <c r="E77" s="320">
        <v>2000000</v>
      </c>
      <c r="F77" s="648" t="s">
        <v>181</v>
      </c>
      <c r="G77" s="648"/>
      <c r="H77" s="648"/>
      <c r="I77" s="649"/>
    </row>
    <row r="78" spans="2:9" x14ac:dyDescent="0.35">
      <c r="B78" s="636" t="s">
        <v>180</v>
      </c>
      <c r="C78" s="637"/>
      <c r="D78" s="638"/>
      <c r="E78" s="320">
        <v>500000</v>
      </c>
      <c r="F78" s="648"/>
      <c r="G78" s="648"/>
      <c r="H78" s="648"/>
      <c r="I78" s="649"/>
    </row>
    <row r="79" spans="2:9" x14ac:dyDescent="0.35">
      <c r="B79" s="636"/>
      <c r="C79" s="637"/>
      <c r="D79" s="638"/>
      <c r="E79" s="320"/>
      <c r="F79" s="639"/>
      <c r="G79" s="639"/>
      <c r="H79" s="639"/>
      <c r="I79" s="640"/>
    </row>
    <row r="80" spans="2:9" ht="15" thickBot="1" x14ac:dyDescent="0.4">
      <c r="B80" s="636"/>
      <c r="C80" s="637"/>
      <c r="D80" s="638"/>
      <c r="E80" s="321"/>
      <c r="F80" s="641"/>
      <c r="G80" s="641"/>
      <c r="H80" s="641"/>
      <c r="I80" s="642"/>
    </row>
    <row r="81" spans="2:9" ht="16" thickBot="1" x14ac:dyDescent="0.4">
      <c r="B81" s="643" t="s">
        <v>8</v>
      </c>
      <c r="C81" s="644"/>
      <c r="D81" s="645"/>
      <c r="E81" s="379">
        <f>SUM(E69:E80)</f>
        <v>4531320</v>
      </c>
      <c r="F81" s="646"/>
      <c r="G81" s="646"/>
      <c r="H81" s="646"/>
      <c r="I81" s="647"/>
    </row>
    <row r="83" spans="2:9" ht="15" thickBot="1" x14ac:dyDescent="0.4"/>
    <row r="84" spans="2:9" ht="19" thickBot="1" x14ac:dyDescent="0.5">
      <c r="B84" s="650" t="s">
        <v>204</v>
      </c>
      <c r="C84" s="651"/>
      <c r="D84" s="651"/>
      <c r="E84" s="651"/>
      <c r="F84" s="651"/>
      <c r="G84" s="651"/>
      <c r="H84" s="651"/>
      <c r="I84" s="652"/>
    </row>
    <row r="85" spans="2:9" ht="15" thickBot="1" x14ac:dyDescent="0.4">
      <c r="B85" s="653" t="s">
        <v>40</v>
      </c>
      <c r="C85" s="654"/>
      <c r="D85" s="655"/>
      <c r="E85" s="373" t="s">
        <v>39</v>
      </c>
      <c r="F85" s="656" t="s">
        <v>205</v>
      </c>
      <c r="G85" s="657"/>
      <c r="H85" s="657"/>
      <c r="I85" s="658"/>
    </row>
    <row r="86" spans="2:9" x14ac:dyDescent="0.35">
      <c r="B86" s="659"/>
      <c r="C86" s="660"/>
      <c r="D86" s="661"/>
      <c r="E86" s="377"/>
      <c r="F86" s="662"/>
      <c r="G86" s="662"/>
      <c r="H86" s="662"/>
      <c r="I86" s="663"/>
    </row>
    <row r="87" spans="2:9" x14ac:dyDescent="0.35">
      <c r="B87" s="636" t="s">
        <v>206</v>
      </c>
      <c r="C87" s="637"/>
      <c r="D87" s="638"/>
      <c r="E87" s="320">
        <v>16500</v>
      </c>
      <c r="F87" s="648" t="s">
        <v>207</v>
      </c>
      <c r="G87" s="648"/>
      <c r="H87" s="648"/>
      <c r="I87" s="649"/>
    </row>
    <row r="88" spans="2:9" x14ac:dyDescent="0.35">
      <c r="B88" s="636" t="s">
        <v>208</v>
      </c>
      <c r="C88" s="637"/>
      <c r="D88" s="638"/>
      <c r="E88" s="320">
        <v>75000</v>
      </c>
      <c r="F88" s="648"/>
      <c r="G88" s="648"/>
      <c r="H88" s="648"/>
      <c r="I88" s="649"/>
    </row>
    <row r="89" spans="2:9" x14ac:dyDescent="0.35">
      <c r="B89" s="636" t="s">
        <v>176</v>
      </c>
      <c r="C89" s="637"/>
      <c r="D89" s="638"/>
      <c r="E89" s="320">
        <v>25000</v>
      </c>
      <c r="F89" s="648"/>
      <c r="G89" s="648"/>
      <c r="H89" s="648"/>
      <c r="I89" s="649"/>
    </row>
    <row r="90" spans="2:9" x14ac:dyDescent="0.35">
      <c r="B90" s="636" t="s">
        <v>177</v>
      </c>
      <c r="C90" s="637"/>
      <c r="D90" s="638"/>
      <c r="E90" s="320">
        <v>10000</v>
      </c>
      <c r="F90" s="648"/>
      <c r="G90" s="648"/>
      <c r="H90" s="648"/>
      <c r="I90" s="649"/>
    </row>
    <row r="91" spans="2:9" x14ac:dyDescent="0.35">
      <c r="B91" s="636" t="s">
        <v>178</v>
      </c>
      <c r="C91" s="637"/>
      <c r="D91" s="638"/>
      <c r="E91" s="320">
        <v>37500</v>
      </c>
      <c r="F91" s="648"/>
      <c r="G91" s="648"/>
      <c r="H91" s="648"/>
      <c r="I91" s="649"/>
    </row>
    <row r="92" spans="2:9" x14ac:dyDescent="0.35">
      <c r="B92" s="636" t="s">
        <v>215</v>
      </c>
      <c r="C92" s="637"/>
      <c r="D92" s="638"/>
      <c r="E92" s="320">
        <v>150000</v>
      </c>
      <c r="F92" s="648"/>
      <c r="G92" s="648"/>
      <c r="H92" s="648"/>
      <c r="I92" s="649"/>
    </row>
    <row r="93" spans="2:9" x14ac:dyDescent="0.35">
      <c r="B93" s="636" t="s">
        <v>209</v>
      </c>
      <c r="C93" s="637"/>
      <c r="D93" s="638"/>
      <c r="E93" s="320">
        <v>16500</v>
      </c>
      <c r="F93" s="648" t="s">
        <v>207</v>
      </c>
      <c r="G93" s="648"/>
      <c r="H93" s="648"/>
      <c r="I93" s="649"/>
    </row>
    <row r="94" spans="2:9" x14ac:dyDescent="0.35">
      <c r="B94" s="636" t="s">
        <v>176</v>
      </c>
      <c r="C94" s="637"/>
      <c r="D94" s="638"/>
      <c r="E94" s="320">
        <v>25000</v>
      </c>
      <c r="F94" s="648"/>
      <c r="G94" s="648"/>
      <c r="H94" s="648"/>
      <c r="I94" s="649"/>
    </row>
    <row r="95" spans="2:9" x14ac:dyDescent="0.35">
      <c r="B95" s="636" t="s">
        <v>177</v>
      </c>
      <c r="C95" s="637"/>
      <c r="D95" s="638"/>
      <c r="E95" s="320">
        <v>10000</v>
      </c>
      <c r="F95" s="648"/>
      <c r="G95" s="648"/>
      <c r="H95" s="648"/>
      <c r="I95" s="649"/>
    </row>
    <row r="96" spans="2:9" x14ac:dyDescent="0.35">
      <c r="B96" s="636" t="s">
        <v>178</v>
      </c>
      <c r="C96" s="637"/>
      <c r="D96" s="638"/>
      <c r="E96" s="320">
        <v>37500</v>
      </c>
      <c r="F96" s="648"/>
      <c r="G96" s="648"/>
      <c r="H96" s="648"/>
      <c r="I96" s="649"/>
    </row>
    <row r="97" spans="2:9" x14ac:dyDescent="0.35">
      <c r="B97" s="636" t="s">
        <v>215</v>
      </c>
      <c r="C97" s="637"/>
      <c r="D97" s="638"/>
      <c r="E97" s="320">
        <v>150000</v>
      </c>
      <c r="F97" s="639"/>
      <c r="G97" s="639"/>
      <c r="H97" s="639"/>
      <c r="I97" s="640"/>
    </row>
    <row r="98" spans="2:9" ht="15" thickBot="1" x14ac:dyDescent="0.4">
      <c r="B98" s="636"/>
      <c r="C98" s="637"/>
      <c r="D98" s="638"/>
      <c r="E98" s="321"/>
      <c r="F98" s="641"/>
      <c r="G98" s="641"/>
      <c r="H98" s="641"/>
      <c r="I98" s="642"/>
    </row>
    <row r="99" spans="2:9" ht="16" thickBot="1" x14ac:dyDescent="0.4">
      <c r="B99" s="643" t="s">
        <v>8</v>
      </c>
      <c r="C99" s="644"/>
      <c r="D99" s="645"/>
      <c r="E99" s="379">
        <f>SUM(E86:E98)</f>
        <v>553000</v>
      </c>
      <c r="F99" s="646"/>
      <c r="G99" s="646"/>
      <c r="H99" s="646"/>
      <c r="I99" s="647"/>
    </row>
    <row r="101" spans="2:9" ht="15" thickBot="1" x14ac:dyDescent="0.4"/>
    <row r="102" spans="2:9" ht="19" thickBot="1" x14ac:dyDescent="0.5">
      <c r="B102" s="650" t="s">
        <v>248</v>
      </c>
      <c r="C102" s="651"/>
      <c r="D102" s="651"/>
      <c r="E102" s="651"/>
      <c r="F102" s="651"/>
      <c r="G102" s="651"/>
      <c r="H102" s="651"/>
      <c r="I102" s="652"/>
    </row>
    <row r="103" spans="2:9" ht="15" thickBot="1" x14ac:dyDescent="0.4">
      <c r="B103" s="653" t="s">
        <v>40</v>
      </c>
      <c r="C103" s="654"/>
      <c r="D103" s="655"/>
      <c r="E103" s="373" t="s">
        <v>39</v>
      </c>
      <c r="F103" s="656" t="s">
        <v>205</v>
      </c>
      <c r="G103" s="657"/>
      <c r="H103" s="657"/>
      <c r="I103" s="658"/>
    </row>
    <row r="104" spans="2:9" x14ac:dyDescent="0.35">
      <c r="B104" s="659"/>
      <c r="C104" s="660"/>
      <c r="D104" s="661"/>
      <c r="E104" s="377"/>
      <c r="F104" s="662"/>
      <c r="G104" s="662"/>
      <c r="H104" s="662"/>
      <c r="I104" s="663"/>
    </row>
    <row r="105" spans="2:9" x14ac:dyDescent="0.35">
      <c r="B105" s="636" t="s">
        <v>28</v>
      </c>
      <c r="C105" s="637"/>
      <c r="D105" s="638"/>
      <c r="E105" s="320">
        <v>2500000</v>
      </c>
      <c r="F105" s="648"/>
      <c r="G105" s="648"/>
      <c r="H105" s="648"/>
      <c r="I105" s="649"/>
    </row>
    <row r="106" spans="2:9" x14ac:dyDescent="0.35">
      <c r="B106" s="636" t="s">
        <v>247</v>
      </c>
      <c r="C106" s="637"/>
      <c r="D106" s="638"/>
      <c r="E106" s="320">
        <v>2500000</v>
      </c>
      <c r="F106" s="648"/>
      <c r="G106" s="648"/>
      <c r="H106" s="648"/>
      <c r="I106" s="649"/>
    </row>
    <row r="107" spans="2:9" x14ac:dyDescent="0.35">
      <c r="B107" s="636" t="s">
        <v>252</v>
      </c>
      <c r="C107" s="637"/>
      <c r="D107" s="638"/>
      <c r="E107" s="320">
        <v>150000</v>
      </c>
      <c r="F107" s="648" t="s">
        <v>253</v>
      </c>
      <c r="G107" s="648"/>
      <c r="H107" s="648"/>
      <c r="I107" s="649"/>
    </row>
    <row r="108" spans="2:9" x14ac:dyDescent="0.35">
      <c r="B108" s="636" t="s">
        <v>251</v>
      </c>
      <c r="C108" s="637"/>
      <c r="D108" s="638"/>
      <c r="E108" s="320">
        <v>4316800</v>
      </c>
      <c r="F108" s="648"/>
      <c r="G108" s="648"/>
      <c r="H108" s="648"/>
      <c r="I108" s="649"/>
    </row>
    <row r="109" spans="2:9" x14ac:dyDescent="0.35">
      <c r="B109" s="636"/>
      <c r="C109" s="637"/>
      <c r="D109" s="638"/>
      <c r="E109" s="320"/>
      <c r="F109" s="639"/>
      <c r="G109" s="639"/>
      <c r="H109" s="639"/>
      <c r="I109" s="640"/>
    </row>
    <row r="110" spans="2:9" ht="15" thickBot="1" x14ac:dyDescent="0.4">
      <c r="B110" s="636"/>
      <c r="C110" s="637"/>
      <c r="D110" s="638"/>
      <c r="E110" s="321"/>
      <c r="F110" s="641"/>
      <c r="G110" s="641"/>
      <c r="H110" s="641"/>
      <c r="I110" s="642"/>
    </row>
    <row r="111" spans="2:9" ht="16" thickBot="1" x14ac:dyDescent="0.4">
      <c r="B111" s="643" t="s">
        <v>8</v>
      </c>
      <c r="C111" s="644"/>
      <c r="D111" s="645"/>
      <c r="E111" s="379">
        <f>SUM(E104:E110)</f>
        <v>9466800</v>
      </c>
      <c r="F111" s="646"/>
      <c r="G111" s="646"/>
      <c r="H111" s="646"/>
      <c r="I111" s="647"/>
    </row>
    <row r="114" spans="2:5" x14ac:dyDescent="0.35">
      <c r="B114" t="s">
        <v>255</v>
      </c>
      <c r="E114" s="472"/>
    </row>
  </sheetData>
  <mergeCells count="122">
    <mergeCell ref="B111:D111"/>
    <mergeCell ref="F111:I111"/>
    <mergeCell ref="B108:D108"/>
    <mergeCell ref="F108:I108"/>
    <mergeCell ref="B109:D109"/>
    <mergeCell ref="F109:I109"/>
    <mergeCell ref="B110:D110"/>
    <mergeCell ref="F110:I110"/>
    <mergeCell ref="B102:I102"/>
    <mergeCell ref="B103:D103"/>
    <mergeCell ref="F103:I103"/>
    <mergeCell ref="B104:D104"/>
    <mergeCell ref="F104:I104"/>
    <mergeCell ref="B105:D105"/>
    <mergeCell ref="F105:I105"/>
    <mergeCell ref="B106:D106"/>
    <mergeCell ref="F106:I106"/>
    <mergeCell ref="B107:D107"/>
    <mergeCell ref="F107:I107"/>
    <mergeCell ref="F37:I37"/>
    <mergeCell ref="F38:I38"/>
    <mergeCell ref="F39:I39"/>
    <mergeCell ref="F40:I40"/>
    <mergeCell ref="B32:I32"/>
    <mergeCell ref="F33:I33"/>
    <mergeCell ref="B3:L3"/>
    <mergeCell ref="B19:I19"/>
    <mergeCell ref="F34:I34"/>
    <mergeCell ref="F35:I35"/>
    <mergeCell ref="F36:I36"/>
    <mergeCell ref="F49:I49"/>
    <mergeCell ref="F50:I50"/>
    <mergeCell ref="F51:I51"/>
    <mergeCell ref="B67:I67"/>
    <mergeCell ref="F68:I68"/>
    <mergeCell ref="F69:I69"/>
    <mergeCell ref="B68:D68"/>
    <mergeCell ref="B69:D69"/>
    <mergeCell ref="B43:I43"/>
    <mergeCell ref="F44:I44"/>
    <mergeCell ref="F45:I45"/>
    <mergeCell ref="F46:I46"/>
    <mergeCell ref="F47:I47"/>
    <mergeCell ref="F48:I48"/>
    <mergeCell ref="B57:D57"/>
    <mergeCell ref="F57:I57"/>
    <mergeCell ref="B58:D58"/>
    <mergeCell ref="F58:I58"/>
    <mergeCell ref="B59:D59"/>
    <mergeCell ref="F59:I59"/>
    <mergeCell ref="F62:I62"/>
    <mergeCell ref="B79:D79"/>
    <mergeCell ref="B80:D80"/>
    <mergeCell ref="B81:D81"/>
    <mergeCell ref="B84:I84"/>
    <mergeCell ref="B85:D85"/>
    <mergeCell ref="F85:I85"/>
    <mergeCell ref="B86:D86"/>
    <mergeCell ref="F79:I79"/>
    <mergeCell ref="F80:I80"/>
    <mergeCell ref="F81:I81"/>
    <mergeCell ref="F86:I86"/>
    <mergeCell ref="B78:D78"/>
    <mergeCell ref="F78:I78"/>
    <mergeCell ref="B74:D74"/>
    <mergeCell ref="F74:I74"/>
    <mergeCell ref="B75:D75"/>
    <mergeCell ref="F75:I75"/>
    <mergeCell ref="B76:D76"/>
    <mergeCell ref="F76:I76"/>
    <mergeCell ref="B77:D77"/>
    <mergeCell ref="F77:I77"/>
    <mergeCell ref="B73:D73"/>
    <mergeCell ref="F73:I73"/>
    <mergeCell ref="B54:I54"/>
    <mergeCell ref="B55:D55"/>
    <mergeCell ref="F55:I55"/>
    <mergeCell ref="B56:D56"/>
    <mergeCell ref="F56:I56"/>
    <mergeCell ref="B70:D70"/>
    <mergeCell ref="F70:I70"/>
    <mergeCell ref="B71:D71"/>
    <mergeCell ref="F71:I71"/>
    <mergeCell ref="B72:D72"/>
    <mergeCell ref="F72:I72"/>
    <mergeCell ref="B63:D63"/>
    <mergeCell ref="F63:I63"/>
    <mergeCell ref="B64:D64"/>
    <mergeCell ref="F64:I64"/>
    <mergeCell ref="B65:D65"/>
    <mergeCell ref="F65:I65"/>
    <mergeCell ref="B60:D60"/>
    <mergeCell ref="F60:I60"/>
    <mergeCell ref="B61:D61"/>
    <mergeCell ref="F61:I61"/>
    <mergeCell ref="B62:D62"/>
    <mergeCell ref="B90:D90"/>
    <mergeCell ref="F90:I90"/>
    <mergeCell ref="B91:D91"/>
    <mergeCell ref="F91:I91"/>
    <mergeCell ref="B92:D92"/>
    <mergeCell ref="F92:I92"/>
    <mergeCell ref="B87:D87"/>
    <mergeCell ref="F87:I87"/>
    <mergeCell ref="B88:D88"/>
    <mergeCell ref="F88:I88"/>
    <mergeCell ref="B89:D89"/>
    <mergeCell ref="F89:I89"/>
    <mergeCell ref="B96:D96"/>
    <mergeCell ref="B97:D97"/>
    <mergeCell ref="F97:I97"/>
    <mergeCell ref="B98:D98"/>
    <mergeCell ref="F98:I98"/>
    <mergeCell ref="B99:D99"/>
    <mergeCell ref="F99:I99"/>
    <mergeCell ref="B93:D93"/>
    <mergeCell ref="F93:I93"/>
    <mergeCell ref="B94:D94"/>
    <mergeCell ref="F94:I94"/>
    <mergeCell ref="B95:D95"/>
    <mergeCell ref="F95:I95"/>
    <mergeCell ref="F96:I96"/>
  </mergeCells>
  <printOptions horizontalCentered="1"/>
  <pageMargins left="0.19685039370078741" right="0.19685039370078741" top="0.74803149606299213" bottom="0.74803149606299213" header="0.31496062992125984" footer="0.31496062992125984"/>
  <pageSetup scale="83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309"/>
  <sheetViews>
    <sheetView topLeftCell="A121" zoomScale="85" zoomScaleNormal="85" workbookViewId="0">
      <selection activeCell="B150" sqref="B150"/>
    </sheetView>
  </sheetViews>
  <sheetFormatPr defaultRowHeight="14.5" x14ac:dyDescent="0.35"/>
  <cols>
    <col min="1" max="1" width="5.1796875" customWidth="1"/>
    <col min="2" max="2" width="46.36328125" bestFit="1" customWidth="1"/>
    <col min="3" max="3" width="19.08984375" customWidth="1"/>
    <col min="4" max="4" width="15.6328125" style="1" bestFit="1" customWidth="1"/>
    <col min="5" max="5" width="17.7265625" customWidth="1"/>
    <col min="6" max="6" width="17.7265625" bestFit="1" customWidth="1"/>
    <col min="7" max="7" width="10.54296875" bestFit="1" customWidth="1"/>
    <col min="8" max="8" width="3.90625" customWidth="1"/>
  </cols>
  <sheetData>
    <row r="3" spans="2:7" ht="15" thickBot="1" x14ac:dyDescent="0.4"/>
    <row r="4" spans="2:7" ht="18" thickBot="1" x14ac:dyDescent="0.4">
      <c r="B4" s="682" t="s">
        <v>5</v>
      </c>
      <c r="C4" s="683"/>
      <c r="D4" s="683"/>
      <c r="E4" s="683"/>
      <c r="F4" s="683"/>
      <c r="G4" s="684"/>
    </row>
    <row r="5" spans="2:7" ht="35.5" thickBot="1" x14ac:dyDescent="0.4">
      <c r="B5" s="256" t="s">
        <v>76</v>
      </c>
      <c r="C5" s="257"/>
      <c r="D5" s="257"/>
      <c r="E5" s="258" t="s">
        <v>39</v>
      </c>
      <c r="F5" s="259" t="s">
        <v>142</v>
      </c>
      <c r="G5" s="260" t="s">
        <v>106</v>
      </c>
    </row>
    <row r="6" spans="2:7" x14ac:dyDescent="0.35">
      <c r="B6" s="203"/>
      <c r="C6" s="228"/>
      <c r="D6" s="228"/>
      <c r="E6" s="204"/>
      <c r="F6" s="204"/>
      <c r="G6" s="229"/>
    </row>
    <row r="7" spans="2:7" ht="15.5" x14ac:dyDescent="0.35">
      <c r="B7" s="397">
        <v>45513</v>
      </c>
      <c r="C7" s="230"/>
      <c r="D7" s="230"/>
      <c r="E7" s="206">
        <v>25000000</v>
      </c>
      <c r="F7" s="232" t="s">
        <v>143</v>
      </c>
      <c r="G7" s="233" t="s">
        <v>108</v>
      </c>
    </row>
    <row r="8" spans="2:7" ht="15.5" x14ac:dyDescent="0.35">
      <c r="B8" s="397">
        <v>45525</v>
      </c>
      <c r="C8" s="230"/>
      <c r="D8" s="230"/>
      <c r="E8" s="206">
        <v>10000000</v>
      </c>
      <c r="F8" s="232" t="s">
        <v>143</v>
      </c>
      <c r="G8" s="233" t="s">
        <v>108</v>
      </c>
    </row>
    <row r="9" spans="2:7" ht="15.5" x14ac:dyDescent="0.35">
      <c r="B9" s="397">
        <v>45532</v>
      </c>
      <c r="C9" s="230"/>
      <c r="D9" s="230"/>
      <c r="E9" s="206">
        <v>5000000</v>
      </c>
      <c r="F9" s="232" t="s">
        <v>143</v>
      </c>
      <c r="G9" s="233" t="s">
        <v>108</v>
      </c>
    </row>
    <row r="10" spans="2:7" ht="15.5" x14ac:dyDescent="0.35">
      <c r="B10" s="397">
        <v>45534</v>
      </c>
      <c r="C10" s="230"/>
      <c r="D10" s="230"/>
      <c r="E10" s="206">
        <v>10000000</v>
      </c>
      <c r="F10" s="232" t="s">
        <v>143</v>
      </c>
      <c r="G10" s="233" t="s">
        <v>108</v>
      </c>
    </row>
    <row r="11" spans="2:7" ht="15.5" x14ac:dyDescent="0.35">
      <c r="B11" s="397">
        <v>45540</v>
      </c>
      <c r="C11" s="230"/>
      <c r="D11" s="230"/>
      <c r="E11" s="206">
        <v>5000000</v>
      </c>
      <c r="F11" s="232" t="s">
        <v>143</v>
      </c>
      <c r="G11" s="233" t="s">
        <v>108</v>
      </c>
    </row>
    <row r="12" spans="2:7" ht="15.5" x14ac:dyDescent="0.35">
      <c r="B12" s="397">
        <v>45546</v>
      </c>
      <c r="C12" s="230"/>
      <c r="D12" s="230"/>
      <c r="E12" s="206">
        <v>5000000</v>
      </c>
      <c r="F12" s="232" t="s">
        <v>143</v>
      </c>
      <c r="G12" s="233" t="s">
        <v>108</v>
      </c>
    </row>
    <row r="13" spans="2:7" ht="15.5" x14ac:dyDescent="0.35">
      <c r="B13" s="397">
        <v>45556</v>
      </c>
      <c r="C13" s="230"/>
      <c r="D13" s="230"/>
      <c r="E13" s="206">
        <v>10000000</v>
      </c>
      <c r="F13" s="232" t="s">
        <v>22</v>
      </c>
      <c r="G13" s="233" t="s">
        <v>108</v>
      </c>
    </row>
    <row r="14" spans="2:7" ht="15.5" x14ac:dyDescent="0.35">
      <c r="B14" s="397">
        <v>45565</v>
      </c>
      <c r="C14" s="230"/>
      <c r="D14" s="230"/>
      <c r="E14" s="206">
        <v>10000000</v>
      </c>
      <c r="F14" s="232" t="s">
        <v>143</v>
      </c>
      <c r="G14" s="233" t="s">
        <v>108</v>
      </c>
    </row>
    <row r="15" spans="2:7" ht="15.5" x14ac:dyDescent="0.35">
      <c r="B15" s="399">
        <v>45587</v>
      </c>
      <c r="C15" s="230"/>
      <c r="D15" s="230"/>
      <c r="E15" s="206">
        <v>1100000</v>
      </c>
      <c r="F15" s="232" t="s">
        <v>132</v>
      </c>
      <c r="G15" s="233" t="s">
        <v>109</v>
      </c>
    </row>
    <row r="16" spans="2:7" ht="15.5" x14ac:dyDescent="0.35">
      <c r="B16" s="399">
        <v>45587</v>
      </c>
      <c r="C16" s="230"/>
      <c r="D16" s="230"/>
      <c r="E16" s="206">
        <v>1150000</v>
      </c>
      <c r="F16" s="232" t="s">
        <v>133</v>
      </c>
      <c r="G16" s="233" t="s">
        <v>109</v>
      </c>
    </row>
    <row r="17" spans="2:7" ht="15.5" x14ac:dyDescent="0.35">
      <c r="B17" s="399">
        <v>45602</v>
      </c>
      <c r="C17" s="230"/>
      <c r="D17" s="230"/>
      <c r="E17" s="206">
        <v>850000</v>
      </c>
      <c r="F17" s="232" t="s">
        <v>135</v>
      </c>
      <c r="G17" s="233" t="s">
        <v>109</v>
      </c>
    </row>
    <row r="18" spans="2:7" ht="15.5" x14ac:dyDescent="0.35">
      <c r="B18" s="399">
        <v>45603</v>
      </c>
      <c r="C18" s="230"/>
      <c r="D18" s="230"/>
      <c r="E18" s="206">
        <v>950000</v>
      </c>
      <c r="F18" s="232" t="s">
        <v>137</v>
      </c>
      <c r="G18" s="233" t="s">
        <v>109</v>
      </c>
    </row>
    <row r="19" spans="2:7" ht="15.5" x14ac:dyDescent="0.35">
      <c r="B19" s="399">
        <v>45672</v>
      </c>
      <c r="C19" s="230"/>
      <c r="D19" s="230"/>
      <c r="E19" s="206">
        <v>3000000</v>
      </c>
      <c r="F19" s="232" t="s">
        <v>139</v>
      </c>
      <c r="G19" s="233" t="s">
        <v>109</v>
      </c>
    </row>
    <row r="20" spans="2:7" ht="15" thickBot="1" x14ac:dyDescent="0.4">
      <c r="B20" s="207"/>
      <c r="C20" s="234"/>
      <c r="D20" s="234"/>
      <c r="E20" s="208"/>
      <c r="F20" s="208"/>
      <c r="G20" s="235"/>
    </row>
    <row r="21" spans="2:7" ht="20.5" thickBot="1" x14ac:dyDescent="0.45">
      <c r="B21" s="248" t="s">
        <v>10</v>
      </c>
      <c r="C21" s="249"/>
      <c r="D21" s="249"/>
      <c r="E21" s="250">
        <f>SUM(E7:E20)</f>
        <v>87050000</v>
      </c>
      <c r="F21" s="250"/>
      <c r="G21" s="251"/>
    </row>
    <row r="22" spans="2:7" ht="15" thickBot="1" x14ac:dyDescent="0.4">
      <c r="B22" s="439"/>
      <c r="C22" s="209"/>
      <c r="D22" s="209"/>
      <c r="E22" s="209"/>
      <c r="F22" s="209"/>
      <c r="G22" s="440"/>
    </row>
    <row r="23" spans="2:7" x14ac:dyDescent="0.35">
      <c r="B23" s="398">
        <v>45345</v>
      </c>
      <c r="C23" s="236"/>
      <c r="D23" s="236"/>
      <c r="E23" s="210">
        <v>12100000</v>
      </c>
      <c r="F23" s="210" t="s">
        <v>107</v>
      </c>
      <c r="G23" s="238" t="s">
        <v>108</v>
      </c>
    </row>
    <row r="24" spans="2:7" x14ac:dyDescent="0.35">
      <c r="B24" s="397">
        <v>45362</v>
      </c>
      <c r="C24" s="230"/>
      <c r="D24" s="230"/>
      <c r="E24" s="206">
        <v>12000000</v>
      </c>
      <c r="F24" s="206" t="s">
        <v>107</v>
      </c>
      <c r="G24" s="233" t="s">
        <v>108</v>
      </c>
    </row>
    <row r="25" spans="2:7" x14ac:dyDescent="0.35">
      <c r="B25" s="397">
        <v>45369</v>
      </c>
      <c r="C25" s="230"/>
      <c r="D25" s="230"/>
      <c r="E25" s="206">
        <v>7500000</v>
      </c>
      <c r="F25" s="206" t="s">
        <v>107</v>
      </c>
      <c r="G25" s="233" t="s">
        <v>108</v>
      </c>
    </row>
    <row r="26" spans="2:7" x14ac:dyDescent="0.35">
      <c r="B26" s="397">
        <v>45373</v>
      </c>
      <c r="C26" s="230"/>
      <c r="D26" s="230"/>
      <c r="E26" s="206">
        <v>7000000</v>
      </c>
      <c r="F26" s="206" t="s">
        <v>107</v>
      </c>
      <c r="G26" s="233" t="s">
        <v>108</v>
      </c>
    </row>
    <row r="27" spans="2:7" x14ac:dyDescent="0.35">
      <c r="B27" s="397">
        <v>45388</v>
      </c>
      <c r="C27" s="230"/>
      <c r="D27" s="230"/>
      <c r="E27" s="206">
        <v>5500000</v>
      </c>
      <c r="F27" s="206" t="s">
        <v>107</v>
      </c>
      <c r="G27" s="233" t="s">
        <v>108</v>
      </c>
    </row>
    <row r="28" spans="2:7" x14ac:dyDescent="0.35">
      <c r="B28" s="397">
        <v>45392</v>
      </c>
      <c r="C28" s="230"/>
      <c r="D28" s="230"/>
      <c r="E28" s="206">
        <v>6000000</v>
      </c>
      <c r="F28" s="206" t="s">
        <v>107</v>
      </c>
      <c r="G28" s="233" t="s">
        <v>108</v>
      </c>
    </row>
    <row r="29" spans="2:7" x14ac:dyDescent="0.35">
      <c r="B29" s="397">
        <v>45474</v>
      </c>
      <c r="C29" s="230"/>
      <c r="D29" s="230"/>
      <c r="E29" s="206">
        <v>10000000</v>
      </c>
      <c r="F29" s="206" t="s">
        <v>107</v>
      </c>
      <c r="G29" s="233" t="s">
        <v>108</v>
      </c>
    </row>
    <row r="30" spans="2:7" x14ac:dyDescent="0.35">
      <c r="B30" s="397">
        <v>45482</v>
      </c>
      <c r="C30" s="230"/>
      <c r="D30" s="230"/>
      <c r="E30" s="206">
        <v>10000000</v>
      </c>
      <c r="F30" s="206" t="s">
        <v>107</v>
      </c>
      <c r="G30" s="233" t="s">
        <v>108</v>
      </c>
    </row>
    <row r="31" spans="2:7" x14ac:dyDescent="0.35">
      <c r="B31" s="397">
        <v>45509</v>
      </c>
      <c r="C31" s="230"/>
      <c r="D31" s="230"/>
      <c r="E31" s="206">
        <v>20000000</v>
      </c>
      <c r="F31" s="206" t="s">
        <v>107</v>
      </c>
      <c r="G31" s="233" t="s">
        <v>108</v>
      </c>
    </row>
    <row r="32" spans="2:7" x14ac:dyDescent="0.35">
      <c r="B32" s="397">
        <v>45513</v>
      </c>
      <c r="C32" s="230"/>
      <c r="D32" s="230"/>
      <c r="E32" s="206">
        <v>6500000</v>
      </c>
      <c r="F32" s="206" t="s">
        <v>107</v>
      </c>
      <c r="G32" s="233" t="s">
        <v>108</v>
      </c>
    </row>
    <row r="33" spans="2:7" x14ac:dyDescent="0.35">
      <c r="B33" s="397">
        <v>45535</v>
      </c>
      <c r="C33" s="230"/>
      <c r="D33" s="230"/>
      <c r="E33" s="206">
        <v>10000000</v>
      </c>
      <c r="F33" s="206" t="s">
        <v>107</v>
      </c>
      <c r="G33" s="233" t="s">
        <v>108</v>
      </c>
    </row>
    <row r="34" spans="2:7" x14ac:dyDescent="0.35">
      <c r="B34" s="397">
        <v>45537</v>
      </c>
      <c r="C34" s="230"/>
      <c r="D34" s="230"/>
      <c r="E34" s="206">
        <v>7500000</v>
      </c>
      <c r="F34" s="206" t="s">
        <v>107</v>
      </c>
      <c r="G34" s="233" t="s">
        <v>108</v>
      </c>
    </row>
    <row r="35" spans="2:7" x14ac:dyDescent="0.35">
      <c r="B35" s="397">
        <v>45556</v>
      </c>
      <c r="C35" s="230"/>
      <c r="D35" s="230"/>
      <c r="E35" s="206">
        <v>6500000</v>
      </c>
      <c r="F35" s="206" t="s">
        <v>107</v>
      </c>
      <c r="G35" s="233" t="s">
        <v>108</v>
      </c>
    </row>
    <row r="36" spans="2:7" x14ac:dyDescent="0.35">
      <c r="B36" s="397">
        <v>45559</v>
      </c>
      <c r="C36" s="230"/>
      <c r="D36" s="230"/>
      <c r="E36" s="206">
        <v>7000000</v>
      </c>
      <c r="F36" s="206" t="s">
        <v>107</v>
      </c>
      <c r="G36" s="233" t="s">
        <v>108</v>
      </c>
    </row>
    <row r="37" spans="2:7" x14ac:dyDescent="0.35">
      <c r="B37" s="397">
        <v>45572</v>
      </c>
      <c r="C37" s="230"/>
      <c r="D37" s="230"/>
      <c r="E37" s="206">
        <v>6000000</v>
      </c>
      <c r="F37" s="206" t="s">
        <v>107</v>
      </c>
      <c r="G37" s="233" t="s">
        <v>108</v>
      </c>
    </row>
    <row r="38" spans="2:7" x14ac:dyDescent="0.35">
      <c r="B38" s="397">
        <v>45651</v>
      </c>
      <c r="C38" s="230"/>
      <c r="D38" s="230"/>
      <c r="E38" s="206">
        <v>12500000</v>
      </c>
      <c r="F38" s="206" t="s">
        <v>107</v>
      </c>
      <c r="G38" s="233" t="s">
        <v>108</v>
      </c>
    </row>
    <row r="39" spans="2:7" ht="15" thickBot="1" x14ac:dyDescent="0.4">
      <c r="B39" s="207"/>
      <c r="C39" s="234"/>
      <c r="D39" s="234"/>
      <c r="E39" s="208"/>
      <c r="F39" s="208"/>
      <c r="G39" s="235"/>
    </row>
    <row r="40" spans="2:7" ht="18" thickBot="1" x14ac:dyDescent="0.4">
      <c r="B40" s="252" t="s">
        <v>8</v>
      </c>
      <c r="C40" s="253"/>
      <c r="D40" s="253"/>
      <c r="E40" s="254">
        <f>SUM(E23:E39)</f>
        <v>146100000</v>
      </c>
      <c r="F40" s="246"/>
      <c r="G40" s="255"/>
    </row>
    <row r="41" spans="2:7" x14ac:dyDescent="0.35">
      <c r="B41" s="439"/>
      <c r="C41" s="209"/>
      <c r="D41" s="209"/>
      <c r="E41" s="209"/>
      <c r="F41" s="209"/>
      <c r="G41" s="440"/>
    </row>
    <row r="42" spans="2:7" ht="18" thickBot="1" x14ac:dyDescent="0.4">
      <c r="B42" s="680" t="s">
        <v>116</v>
      </c>
      <c r="C42" s="623"/>
      <c r="D42" s="623"/>
      <c r="E42" s="623"/>
      <c r="F42" s="623"/>
      <c r="G42" s="681"/>
    </row>
    <row r="43" spans="2:7" ht="35.5" thickBot="1" x14ac:dyDescent="0.4">
      <c r="B43" s="256" t="s">
        <v>76</v>
      </c>
      <c r="C43" s="257" t="s">
        <v>39</v>
      </c>
      <c r="D43" s="257" t="s">
        <v>29</v>
      </c>
      <c r="E43" s="258" t="s">
        <v>39</v>
      </c>
      <c r="F43" s="259" t="s">
        <v>104</v>
      </c>
      <c r="G43" s="260" t="s">
        <v>106</v>
      </c>
    </row>
    <row r="44" spans="2:7" x14ac:dyDescent="0.35">
      <c r="B44" s="213"/>
      <c r="C44" s="210"/>
      <c r="D44" s="210"/>
      <c r="E44" s="237"/>
      <c r="F44" s="210"/>
      <c r="G44" s="238"/>
    </row>
    <row r="45" spans="2:7" x14ac:dyDescent="0.35">
      <c r="B45" s="214" t="s">
        <v>93</v>
      </c>
      <c r="C45" s="206">
        <v>2500000</v>
      </c>
      <c r="D45" s="206">
        <v>2500</v>
      </c>
      <c r="E45" s="224">
        <f t="shared" ref="E45:E50" si="0">+SUM(B45:D45)</f>
        <v>2502500</v>
      </c>
      <c r="F45" s="206" t="s">
        <v>107</v>
      </c>
      <c r="G45" s="233" t="s">
        <v>109</v>
      </c>
    </row>
    <row r="46" spans="2:7" x14ac:dyDescent="0.35">
      <c r="B46" s="214" t="s">
        <v>94</v>
      </c>
      <c r="C46" s="206">
        <v>4131000</v>
      </c>
      <c r="D46" s="206">
        <v>2500</v>
      </c>
      <c r="E46" s="224">
        <f t="shared" si="0"/>
        <v>4133500</v>
      </c>
      <c r="F46" s="206" t="s">
        <v>107</v>
      </c>
      <c r="G46" s="233" t="s">
        <v>109</v>
      </c>
    </row>
    <row r="47" spans="2:7" x14ac:dyDescent="0.35">
      <c r="B47" s="214" t="s">
        <v>96</v>
      </c>
      <c r="C47" s="206">
        <v>4243200</v>
      </c>
      <c r="D47" s="206">
        <v>2500</v>
      </c>
      <c r="E47" s="224">
        <f t="shared" si="0"/>
        <v>4245700</v>
      </c>
      <c r="F47" s="206" t="s">
        <v>107</v>
      </c>
      <c r="G47" s="233" t="s">
        <v>109</v>
      </c>
    </row>
    <row r="48" spans="2:7" x14ac:dyDescent="0.35">
      <c r="B48" s="214" t="s">
        <v>97</v>
      </c>
      <c r="C48" s="206">
        <v>13875000</v>
      </c>
      <c r="D48" s="206">
        <v>2500</v>
      </c>
      <c r="E48" s="224">
        <f t="shared" si="0"/>
        <v>13877500</v>
      </c>
      <c r="F48" s="206" t="s">
        <v>107</v>
      </c>
      <c r="G48" s="233" t="s">
        <v>109</v>
      </c>
    </row>
    <row r="49" spans="2:7" x14ac:dyDescent="0.35">
      <c r="B49" s="214" t="s">
        <v>98</v>
      </c>
      <c r="C49" s="206">
        <v>6240000</v>
      </c>
      <c r="D49" s="206">
        <v>2500</v>
      </c>
      <c r="E49" s="224">
        <f t="shared" si="0"/>
        <v>6242500</v>
      </c>
      <c r="F49" s="206" t="s">
        <v>107</v>
      </c>
      <c r="G49" s="233" t="s">
        <v>109</v>
      </c>
    </row>
    <row r="50" spans="2:7" x14ac:dyDescent="0.35">
      <c r="B50" s="214" t="s">
        <v>99</v>
      </c>
      <c r="C50" s="206">
        <v>2025000</v>
      </c>
      <c r="D50" s="206">
        <v>2500</v>
      </c>
      <c r="E50" s="224">
        <f t="shared" si="0"/>
        <v>2027500</v>
      </c>
      <c r="F50" s="206" t="s">
        <v>107</v>
      </c>
      <c r="G50" s="233" t="s">
        <v>109</v>
      </c>
    </row>
    <row r="51" spans="2:7" x14ac:dyDescent="0.35">
      <c r="B51" s="214" t="s">
        <v>100</v>
      </c>
      <c r="C51" s="206">
        <v>8451000</v>
      </c>
      <c r="D51" s="206">
        <v>2500</v>
      </c>
      <c r="E51" s="224">
        <f>+SUM(B51:D51)</f>
        <v>8453500</v>
      </c>
      <c r="F51" s="206" t="s">
        <v>107</v>
      </c>
      <c r="G51" s="233" t="s">
        <v>109</v>
      </c>
    </row>
    <row r="52" spans="2:7" ht="15.5" x14ac:dyDescent="0.35">
      <c r="B52" s="404" t="s">
        <v>190</v>
      </c>
      <c r="C52" s="296">
        <v>40000000</v>
      </c>
      <c r="D52" s="206">
        <v>0</v>
      </c>
      <c r="E52" s="224">
        <f>+SUM(B52:D52)</f>
        <v>40000000</v>
      </c>
      <c r="F52" s="206" t="s">
        <v>107</v>
      </c>
      <c r="G52" s="233" t="s">
        <v>109</v>
      </c>
    </row>
    <row r="53" spans="2:7" ht="15.5" x14ac:dyDescent="0.35">
      <c r="B53" s="404" t="s">
        <v>191</v>
      </c>
      <c r="C53" s="296">
        <v>16000000</v>
      </c>
      <c r="D53" s="206">
        <v>0</v>
      </c>
      <c r="E53" s="224">
        <f>+SUM(B53:D53)</f>
        <v>16000000</v>
      </c>
      <c r="F53" s="206" t="s">
        <v>107</v>
      </c>
      <c r="G53" s="233" t="s">
        <v>109</v>
      </c>
    </row>
    <row r="54" spans="2:7" ht="31" x14ac:dyDescent="0.35">
      <c r="B54" s="405" t="s">
        <v>200</v>
      </c>
      <c r="C54" s="302">
        <v>7000000</v>
      </c>
      <c r="D54" s="224">
        <v>0</v>
      </c>
      <c r="E54" s="224">
        <f>+SUM(B54:D54)</f>
        <v>7000000</v>
      </c>
      <c r="F54" s="224" t="s">
        <v>107</v>
      </c>
      <c r="G54" s="244" t="s">
        <v>109</v>
      </c>
    </row>
    <row r="55" spans="2:7" ht="15.5" x14ac:dyDescent="0.35">
      <c r="B55" s="404" t="s">
        <v>192</v>
      </c>
      <c r="C55" s="302">
        <v>3500000</v>
      </c>
      <c r="D55" s="224">
        <v>0</v>
      </c>
      <c r="E55" s="224">
        <f>+SUM(B55:D55)</f>
        <v>3500000</v>
      </c>
      <c r="F55" s="206" t="s">
        <v>107</v>
      </c>
      <c r="G55" s="233" t="s">
        <v>109</v>
      </c>
    </row>
    <row r="56" spans="2:7" ht="15" thickBot="1" x14ac:dyDescent="0.4">
      <c r="B56" s="215"/>
      <c r="C56" s="216"/>
      <c r="D56" s="216"/>
      <c r="E56" s="216"/>
      <c r="F56" s="216"/>
      <c r="G56" s="240"/>
    </row>
    <row r="57" spans="2:7" ht="18" thickBot="1" x14ac:dyDescent="0.4">
      <c r="B57" s="627" t="s">
        <v>144</v>
      </c>
      <c r="C57" s="628"/>
      <c r="D57" s="629"/>
      <c r="E57" s="241">
        <f>SUM(E45:E56)</f>
        <v>107982700</v>
      </c>
      <c r="F57" s="227"/>
      <c r="G57" s="242"/>
    </row>
    <row r="58" spans="2:7" ht="15" thickBot="1" x14ac:dyDescent="0.4">
      <c r="B58" s="633"/>
      <c r="C58" s="634"/>
      <c r="D58" s="635"/>
      <c r="E58" s="218"/>
      <c r="F58" s="218"/>
      <c r="G58" s="243"/>
    </row>
    <row r="59" spans="2:7" ht="18" thickBot="1" x14ac:dyDescent="0.4">
      <c r="B59" s="671" t="s">
        <v>145</v>
      </c>
      <c r="C59" s="672"/>
      <c r="D59" s="685"/>
      <c r="E59" s="443">
        <f>+E57+E40+E21</f>
        <v>341132700</v>
      </c>
      <c r="F59" s="444"/>
      <c r="G59" s="445"/>
    </row>
    <row r="60" spans="2:7" x14ac:dyDescent="0.35">
      <c r="B60" s="441"/>
      <c r="C60" s="220"/>
      <c r="D60" s="220"/>
      <c r="E60" s="221"/>
      <c r="F60" s="220"/>
      <c r="G60" s="442"/>
    </row>
    <row r="61" spans="2:7" x14ac:dyDescent="0.35">
      <c r="B61" s="441"/>
      <c r="C61" s="220"/>
      <c r="D61" s="220"/>
      <c r="E61" s="221"/>
      <c r="F61" s="220"/>
      <c r="G61" s="442"/>
    </row>
    <row r="62" spans="2:7" ht="18" thickBot="1" x14ac:dyDescent="0.4">
      <c r="B62" s="680" t="s">
        <v>117</v>
      </c>
      <c r="C62" s="623"/>
      <c r="D62" s="623"/>
      <c r="E62" s="623"/>
      <c r="F62" s="623"/>
      <c r="G62" s="681"/>
    </row>
    <row r="63" spans="2:7" ht="35.5" thickBot="1" x14ac:dyDescent="0.4">
      <c r="B63" s="256" t="s">
        <v>40</v>
      </c>
      <c r="C63" s="257" t="s">
        <v>39</v>
      </c>
      <c r="D63" s="257"/>
      <c r="E63" s="258" t="s">
        <v>39</v>
      </c>
      <c r="F63" s="259" t="s">
        <v>104</v>
      </c>
      <c r="G63" s="260" t="s">
        <v>106</v>
      </c>
    </row>
    <row r="64" spans="2:7" x14ac:dyDescent="0.35">
      <c r="B64" s="222" t="s">
        <v>57</v>
      </c>
      <c r="C64" s="210">
        <v>495262</v>
      </c>
      <c r="D64" s="210"/>
      <c r="E64" s="210">
        <f>+D64+C64</f>
        <v>495262</v>
      </c>
      <c r="F64" s="210" t="s">
        <v>107</v>
      </c>
      <c r="G64" s="238"/>
    </row>
    <row r="65" spans="2:7" x14ac:dyDescent="0.35">
      <c r="B65" s="223" t="s">
        <v>58</v>
      </c>
      <c r="C65" s="206">
        <v>287000</v>
      </c>
      <c r="D65" s="206"/>
      <c r="E65" s="206">
        <f t="shared" ref="E65:E71" si="1">+D65+C65</f>
        <v>287000</v>
      </c>
      <c r="F65" s="206" t="s">
        <v>107</v>
      </c>
      <c r="G65" s="233"/>
    </row>
    <row r="66" spans="2:7" x14ac:dyDescent="0.35">
      <c r="B66" s="223" t="s">
        <v>59</v>
      </c>
      <c r="C66" s="206">
        <v>4531320</v>
      </c>
      <c r="D66" s="206"/>
      <c r="E66" s="206">
        <f t="shared" si="1"/>
        <v>4531320</v>
      </c>
      <c r="F66" s="206" t="s">
        <v>107</v>
      </c>
      <c r="G66" s="233"/>
    </row>
    <row r="67" spans="2:7" x14ac:dyDescent="0.35">
      <c r="B67" s="223" t="s">
        <v>60</v>
      </c>
      <c r="C67" s="206">
        <v>142000</v>
      </c>
      <c r="D67" s="206"/>
      <c r="E67" s="206">
        <f t="shared" si="1"/>
        <v>142000</v>
      </c>
      <c r="F67" s="206" t="s">
        <v>107</v>
      </c>
      <c r="G67" s="233"/>
    </row>
    <row r="68" spans="2:7" x14ac:dyDescent="0.35">
      <c r="B68" s="223" t="s">
        <v>110</v>
      </c>
      <c r="C68" s="224">
        <v>553000</v>
      </c>
      <c r="D68" s="224"/>
      <c r="E68" s="224">
        <f t="shared" si="1"/>
        <v>553000</v>
      </c>
      <c r="F68" s="224" t="s">
        <v>107</v>
      </c>
      <c r="G68" s="244"/>
    </row>
    <row r="69" spans="2:7" x14ac:dyDescent="0.35">
      <c r="B69" s="223" t="s">
        <v>28</v>
      </c>
      <c r="C69" s="206">
        <v>2500000</v>
      </c>
      <c r="D69" s="206"/>
      <c r="E69" s="206">
        <f t="shared" si="1"/>
        <v>2500000</v>
      </c>
      <c r="F69" s="206" t="s">
        <v>107</v>
      </c>
      <c r="G69" s="233"/>
    </row>
    <row r="70" spans="2:7" x14ac:dyDescent="0.35">
      <c r="B70" s="223" t="s">
        <v>113</v>
      </c>
      <c r="C70" s="206">
        <v>40000</v>
      </c>
      <c r="D70" s="206"/>
      <c r="E70" s="206">
        <f t="shared" si="1"/>
        <v>40000</v>
      </c>
      <c r="F70" s="206" t="s">
        <v>107</v>
      </c>
      <c r="G70" s="233"/>
    </row>
    <row r="71" spans="2:7" x14ac:dyDescent="0.35">
      <c r="B71" s="225" t="s">
        <v>114</v>
      </c>
      <c r="C71" s="208">
        <v>100000</v>
      </c>
      <c r="D71" s="208"/>
      <c r="E71" s="208">
        <f t="shared" si="1"/>
        <v>100000</v>
      </c>
      <c r="F71" s="206" t="s">
        <v>107</v>
      </c>
      <c r="G71" s="235"/>
    </row>
    <row r="72" spans="2:7" ht="15.5" x14ac:dyDescent="0.35">
      <c r="B72" s="409" t="s">
        <v>210</v>
      </c>
      <c r="C72" s="206">
        <v>5500000</v>
      </c>
      <c r="D72" s="230"/>
      <c r="E72" s="206">
        <v>5500000</v>
      </c>
      <c r="F72" s="232" t="s">
        <v>105</v>
      </c>
      <c r="G72" s="233" t="s">
        <v>108</v>
      </c>
    </row>
    <row r="73" spans="2:7" x14ac:dyDescent="0.35">
      <c r="B73" s="408" t="s">
        <v>203</v>
      </c>
      <c r="C73" s="402">
        <v>2500000</v>
      </c>
      <c r="D73" s="401"/>
      <c r="E73" s="402">
        <v>2500000</v>
      </c>
      <c r="F73" s="402" t="s">
        <v>107</v>
      </c>
      <c r="G73" s="403" t="s">
        <v>108</v>
      </c>
    </row>
    <row r="74" spans="2:7" ht="15.5" x14ac:dyDescent="0.35">
      <c r="B74" s="404" t="s">
        <v>199</v>
      </c>
      <c r="C74" s="206">
        <v>70000</v>
      </c>
      <c r="D74" s="224">
        <v>0</v>
      </c>
      <c r="E74" s="224">
        <f>+SUM(B74:D74)</f>
        <v>70000</v>
      </c>
      <c r="F74" s="206" t="s">
        <v>107</v>
      </c>
      <c r="G74" s="233" t="s">
        <v>109</v>
      </c>
    </row>
    <row r="75" spans="2:7" x14ac:dyDescent="0.35">
      <c r="B75" s="223" t="s">
        <v>247</v>
      </c>
      <c r="C75" s="206">
        <v>2500000</v>
      </c>
      <c r="D75" s="206"/>
      <c r="E75" s="206">
        <f t="shared" ref="E75" si="2">+D75+C75</f>
        <v>2500000</v>
      </c>
      <c r="F75" s="206" t="s">
        <v>107</v>
      </c>
      <c r="G75" s="233"/>
    </row>
    <row r="76" spans="2:7" ht="15" thickBot="1" x14ac:dyDescent="0.4">
      <c r="B76" s="225"/>
      <c r="C76" s="208"/>
      <c r="D76" s="208"/>
      <c r="E76" s="208"/>
      <c r="F76" s="208"/>
      <c r="G76" s="235"/>
    </row>
    <row r="77" spans="2:7" ht="18" thickBot="1" x14ac:dyDescent="0.4">
      <c r="B77" s="388" t="s">
        <v>10</v>
      </c>
      <c r="C77" s="389">
        <f>SUM(C64:C76)</f>
        <v>19218582</v>
      </c>
      <c r="D77" s="389"/>
      <c r="E77" s="389">
        <f>SUM(E64:E76)</f>
        <v>19218582</v>
      </c>
      <c r="F77" s="389"/>
      <c r="G77" s="390"/>
    </row>
    <row r="78" spans="2:7" ht="15" thickBot="1" x14ac:dyDescent="0.4">
      <c r="B78" s="217"/>
      <c r="C78" s="218"/>
      <c r="D78" s="218"/>
      <c r="E78" s="218"/>
      <c r="F78" s="218"/>
      <c r="G78" s="243"/>
    </row>
    <row r="79" spans="2:7" ht="18" thickBot="1" x14ac:dyDescent="0.4">
      <c r="B79" s="261" t="s">
        <v>112</v>
      </c>
      <c r="C79" s="262"/>
      <c r="D79" s="262"/>
      <c r="E79" s="263">
        <f>+E77+E59</f>
        <v>360351282</v>
      </c>
      <c r="F79" s="262"/>
      <c r="G79" s="264"/>
    </row>
    <row r="80" spans="2:7" x14ac:dyDescent="0.35">
      <c r="B80" s="202"/>
      <c r="C80" s="209"/>
      <c r="D80" s="209"/>
      <c r="E80" s="209"/>
      <c r="F80" s="209"/>
      <c r="G80" s="209"/>
    </row>
    <row r="81" spans="2:7" x14ac:dyDescent="0.35">
      <c r="B81" s="226"/>
      <c r="C81" s="220"/>
      <c r="D81" s="220"/>
      <c r="E81" s="220"/>
      <c r="F81" s="220"/>
      <c r="G81" s="220"/>
    </row>
    <row r="82" spans="2:7" x14ac:dyDescent="0.35">
      <c r="B82" s="226"/>
      <c r="C82" s="209"/>
      <c r="D82" s="209"/>
      <c r="E82" s="209"/>
      <c r="F82" s="209"/>
      <c r="G82" s="209"/>
    </row>
    <row r="83" spans="2:7" x14ac:dyDescent="0.35">
      <c r="B83" s="226"/>
      <c r="C83" s="220"/>
      <c r="D83" s="220"/>
      <c r="E83" s="221"/>
      <c r="F83" s="220"/>
      <c r="G83" s="220"/>
    </row>
    <row r="85" spans="2:7" ht="15" thickBot="1" x14ac:dyDescent="0.4"/>
    <row r="86" spans="2:7" ht="24" thickBot="1" x14ac:dyDescent="0.6">
      <c r="B86" s="677" t="s">
        <v>4</v>
      </c>
      <c r="C86" s="678"/>
      <c r="D86" s="678"/>
      <c r="E86" s="678"/>
      <c r="F86" s="679"/>
    </row>
    <row r="87" spans="2:7" ht="16" thickBot="1" x14ac:dyDescent="0.4">
      <c r="B87" s="340" t="s">
        <v>76</v>
      </c>
      <c r="C87" s="341" t="s">
        <v>40</v>
      </c>
      <c r="D87" s="342" t="s">
        <v>39</v>
      </c>
      <c r="E87" s="343" t="s">
        <v>104</v>
      </c>
      <c r="F87" s="344" t="s">
        <v>106</v>
      </c>
    </row>
    <row r="88" spans="2:7" x14ac:dyDescent="0.35">
      <c r="B88" s="178"/>
      <c r="C88" s="268"/>
      <c r="D88" s="179"/>
      <c r="E88" s="183"/>
      <c r="F88" s="185"/>
    </row>
    <row r="89" spans="2:7" ht="15" x14ac:dyDescent="0.35">
      <c r="B89" s="39">
        <v>45513</v>
      </c>
      <c r="C89" s="269"/>
      <c r="D89" s="194">
        <v>65000000</v>
      </c>
      <c r="E89" s="73" t="s">
        <v>105</v>
      </c>
      <c r="F89" s="13" t="s">
        <v>108</v>
      </c>
    </row>
    <row r="90" spans="2:7" ht="15" x14ac:dyDescent="0.35">
      <c r="B90" s="39">
        <v>45518</v>
      </c>
      <c r="C90" s="269"/>
      <c r="D90" s="194">
        <v>85000000</v>
      </c>
      <c r="E90" s="73" t="s">
        <v>105</v>
      </c>
      <c r="F90" s="13" t="s">
        <v>108</v>
      </c>
    </row>
    <row r="91" spans="2:7" ht="15" x14ac:dyDescent="0.35">
      <c r="B91" s="39">
        <v>45559</v>
      </c>
      <c r="C91" s="269"/>
      <c r="D91" s="194">
        <v>20000000</v>
      </c>
      <c r="E91" s="73" t="s">
        <v>105</v>
      </c>
      <c r="F91" s="13" t="s">
        <v>108</v>
      </c>
    </row>
    <row r="92" spans="2:7" ht="15" x14ac:dyDescent="0.35">
      <c r="B92" s="39"/>
      <c r="C92" s="269"/>
      <c r="D92" s="194"/>
      <c r="E92" s="73"/>
      <c r="F92" s="13"/>
    </row>
    <row r="93" spans="2:7" ht="15" thickBot="1" x14ac:dyDescent="0.4">
      <c r="B93" s="186"/>
      <c r="C93" s="271"/>
      <c r="D93" s="181"/>
      <c r="E93" s="80"/>
      <c r="F93" s="177"/>
    </row>
    <row r="94" spans="2:7" ht="16" thickBot="1" x14ac:dyDescent="0.4">
      <c r="B94" s="345" t="s">
        <v>10</v>
      </c>
      <c r="C94" s="346"/>
      <c r="D94" s="347">
        <f>SUM(D89:D93)</f>
        <v>170000000</v>
      </c>
      <c r="E94" s="348"/>
      <c r="F94" s="349"/>
    </row>
    <row r="95" spans="2:7" ht="15" thickBot="1" x14ac:dyDescent="0.4">
      <c r="B95" s="1"/>
      <c r="C95" s="1"/>
      <c r="D95" s="11"/>
      <c r="E95" s="1"/>
      <c r="F95" s="1"/>
    </row>
    <row r="96" spans="2:7" ht="15" x14ac:dyDescent="0.35">
      <c r="B96" s="184">
        <v>45488</v>
      </c>
      <c r="C96" s="272"/>
      <c r="D96" s="193">
        <v>90000000</v>
      </c>
      <c r="E96" s="74" t="s">
        <v>107</v>
      </c>
      <c r="F96" s="75" t="s">
        <v>108</v>
      </c>
    </row>
    <row r="97" spans="2:6" ht="15" x14ac:dyDescent="0.35">
      <c r="B97" s="39">
        <v>45512</v>
      </c>
      <c r="C97" s="269"/>
      <c r="D97" s="194">
        <v>10000000</v>
      </c>
      <c r="E97" s="73" t="s">
        <v>107</v>
      </c>
      <c r="F97" s="13" t="s">
        <v>108</v>
      </c>
    </row>
    <row r="98" spans="2:6" ht="15" x14ac:dyDescent="0.35">
      <c r="B98" s="39">
        <v>45541</v>
      </c>
      <c r="C98" s="269"/>
      <c r="D98" s="194">
        <v>10000000</v>
      </c>
      <c r="E98" s="73" t="s">
        <v>107</v>
      </c>
      <c r="F98" s="13" t="s">
        <v>108</v>
      </c>
    </row>
    <row r="99" spans="2:6" ht="15" x14ac:dyDescent="0.35">
      <c r="B99" s="39">
        <v>45545</v>
      </c>
      <c r="C99" s="269"/>
      <c r="D99" s="194">
        <v>21000000</v>
      </c>
      <c r="E99" s="73" t="s">
        <v>107</v>
      </c>
      <c r="F99" s="13" t="s">
        <v>108</v>
      </c>
    </row>
    <row r="100" spans="2:6" ht="15" x14ac:dyDescent="0.35">
      <c r="B100" s="39">
        <v>45563</v>
      </c>
      <c r="C100" s="269"/>
      <c r="D100" s="194">
        <v>29000000</v>
      </c>
      <c r="E100" s="73" t="s">
        <v>107</v>
      </c>
      <c r="F100" s="13" t="s">
        <v>108</v>
      </c>
    </row>
    <row r="101" spans="2:6" ht="15" x14ac:dyDescent="0.35">
      <c r="B101" s="39">
        <v>45567</v>
      </c>
      <c r="C101" s="269"/>
      <c r="D101" s="194">
        <v>10000000</v>
      </c>
      <c r="E101" s="73" t="s">
        <v>107</v>
      </c>
      <c r="F101" s="13" t="s">
        <v>108</v>
      </c>
    </row>
    <row r="102" spans="2:6" ht="15" x14ac:dyDescent="0.35">
      <c r="B102" s="39">
        <v>45569</v>
      </c>
      <c r="C102" s="269"/>
      <c r="D102" s="194">
        <v>20000000</v>
      </c>
      <c r="E102" s="73" t="s">
        <v>107</v>
      </c>
      <c r="F102" s="13" t="s">
        <v>108</v>
      </c>
    </row>
    <row r="103" spans="2:6" ht="15" x14ac:dyDescent="0.35">
      <c r="B103" s="39">
        <v>45572</v>
      </c>
      <c r="C103" s="269"/>
      <c r="D103" s="194">
        <v>10000000</v>
      </c>
      <c r="E103" s="73" t="s">
        <v>107</v>
      </c>
      <c r="F103" s="13" t="s">
        <v>108</v>
      </c>
    </row>
    <row r="104" spans="2:6" ht="15" x14ac:dyDescent="0.35">
      <c r="B104" s="39">
        <v>45574</v>
      </c>
      <c r="C104" s="269"/>
      <c r="D104" s="194">
        <v>15000000</v>
      </c>
      <c r="E104" s="73" t="s">
        <v>107</v>
      </c>
      <c r="F104" s="13" t="s">
        <v>108</v>
      </c>
    </row>
    <row r="105" spans="2:6" ht="15" x14ac:dyDescent="0.35">
      <c r="B105" s="39">
        <v>45580</v>
      </c>
      <c r="C105" s="269"/>
      <c r="D105" s="194">
        <v>23000000</v>
      </c>
      <c r="E105" s="73" t="s">
        <v>107</v>
      </c>
      <c r="F105" s="13" t="s">
        <v>108</v>
      </c>
    </row>
    <row r="106" spans="2:6" ht="15" x14ac:dyDescent="0.35">
      <c r="B106" s="39">
        <v>45581</v>
      </c>
      <c r="C106" s="269"/>
      <c r="D106" s="194">
        <v>17000000</v>
      </c>
      <c r="E106" s="73" t="s">
        <v>107</v>
      </c>
      <c r="F106" s="13" t="s">
        <v>108</v>
      </c>
    </row>
    <row r="107" spans="2:6" ht="15" x14ac:dyDescent="0.35">
      <c r="B107" s="39">
        <v>45701</v>
      </c>
      <c r="C107" s="269"/>
      <c r="D107" s="194">
        <v>30000000</v>
      </c>
      <c r="E107" s="73" t="s">
        <v>107</v>
      </c>
      <c r="F107" s="13" t="s">
        <v>108</v>
      </c>
    </row>
    <row r="108" spans="2:6" ht="15" x14ac:dyDescent="0.35">
      <c r="B108" s="39">
        <v>45705</v>
      </c>
      <c r="C108" s="269"/>
      <c r="D108" s="194">
        <v>28000000</v>
      </c>
      <c r="E108" s="73" t="s">
        <v>107</v>
      </c>
      <c r="F108" s="13" t="s">
        <v>108</v>
      </c>
    </row>
    <row r="109" spans="2:6" ht="15" x14ac:dyDescent="0.35">
      <c r="B109" s="39">
        <v>45708</v>
      </c>
      <c r="C109" s="269"/>
      <c r="D109" s="194">
        <v>12000000</v>
      </c>
      <c r="E109" s="73" t="s">
        <v>107</v>
      </c>
      <c r="F109" s="13" t="s">
        <v>108</v>
      </c>
    </row>
    <row r="110" spans="2:6" ht="15" x14ac:dyDescent="0.35">
      <c r="B110" s="39" t="s">
        <v>47</v>
      </c>
      <c r="C110" s="269"/>
      <c r="D110" s="194">
        <v>8500000</v>
      </c>
      <c r="E110" s="73" t="s">
        <v>107</v>
      </c>
      <c r="F110" s="13" t="s">
        <v>108</v>
      </c>
    </row>
    <row r="111" spans="2:6" ht="15" x14ac:dyDescent="0.35">
      <c r="B111" s="18" t="s">
        <v>48</v>
      </c>
      <c r="C111" s="273"/>
      <c r="D111" s="194">
        <v>11500000</v>
      </c>
      <c r="E111" s="73" t="s">
        <v>107</v>
      </c>
      <c r="F111" s="13" t="s">
        <v>108</v>
      </c>
    </row>
    <row r="112" spans="2:6" ht="15" x14ac:dyDescent="0.35">
      <c r="B112" s="18" t="s">
        <v>49</v>
      </c>
      <c r="C112" s="273"/>
      <c r="D112" s="194">
        <v>30000000</v>
      </c>
      <c r="E112" s="73" t="s">
        <v>107</v>
      </c>
      <c r="F112" s="13" t="s">
        <v>108</v>
      </c>
    </row>
    <row r="113" spans="2:6" ht="15" x14ac:dyDescent="0.35">
      <c r="B113" s="18">
        <v>45751</v>
      </c>
      <c r="C113" s="273"/>
      <c r="D113" s="194">
        <v>2500000</v>
      </c>
      <c r="E113" s="73" t="s">
        <v>107</v>
      </c>
      <c r="F113" s="13" t="s">
        <v>108</v>
      </c>
    </row>
    <row r="114" spans="2:6" ht="15" x14ac:dyDescent="0.35">
      <c r="B114" s="18">
        <v>45785</v>
      </c>
      <c r="C114" s="273"/>
      <c r="D114" s="194">
        <v>11000000</v>
      </c>
      <c r="E114" s="73" t="s">
        <v>107</v>
      </c>
      <c r="F114" s="13" t="s">
        <v>108</v>
      </c>
    </row>
    <row r="115" spans="2:6" ht="15" x14ac:dyDescent="0.35">
      <c r="B115" s="18">
        <v>45786</v>
      </c>
      <c r="C115" s="273"/>
      <c r="D115" s="194">
        <v>9000000</v>
      </c>
      <c r="E115" s="73" t="s">
        <v>107</v>
      </c>
      <c r="F115" s="13" t="s">
        <v>108</v>
      </c>
    </row>
    <row r="116" spans="2:6" ht="15" x14ac:dyDescent="0.35">
      <c r="B116" s="18">
        <v>45790</v>
      </c>
      <c r="C116" s="273"/>
      <c r="D116" s="194">
        <v>25000000</v>
      </c>
      <c r="E116" s="73" t="s">
        <v>107</v>
      </c>
      <c r="F116" s="13" t="s">
        <v>108</v>
      </c>
    </row>
    <row r="117" spans="2:6" ht="15" x14ac:dyDescent="0.35">
      <c r="B117" s="18">
        <v>45791</v>
      </c>
      <c r="C117" s="273"/>
      <c r="D117" s="194">
        <v>10000000</v>
      </c>
      <c r="E117" s="73" t="s">
        <v>107</v>
      </c>
      <c r="F117" s="13" t="s">
        <v>108</v>
      </c>
    </row>
    <row r="118" spans="2:6" ht="15" x14ac:dyDescent="0.35">
      <c r="B118" s="18">
        <v>45799</v>
      </c>
      <c r="C118" s="273"/>
      <c r="D118" s="194">
        <v>5000000</v>
      </c>
      <c r="E118" s="73" t="s">
        <v>107</v>
      </c>
      <c r="F118" s="13" t="s">
        <v>108</v>
      </c>
    </row>
    <row r="119" spans="2:6" ht="15.5" thickBot="1" x14ac:dyDescent="0.4">
      <c r="B119" s="186"/>
      <c r="C119" s="271"/>
      <c r="D119" s="282"/>
      <c r="E119" s="80"/>
      <c r="F119" s="177"/>
    </row>
    <row r="120" spans="2:6" ht="15.5" thickBot="1" x14ac:dyDescent="0.4">
      <c r="B120" s="350" t="s">
        <v>8</v>
      </c>
      <c r="C120" s="351"/>
      <c r="D120" s="347">
        <f>SUM(D96:D119)</f>
        <v>437500000</v>
      </c>
      <c r="E120" s="352"/>
      <c r="F120" s="353"/>
    </row>
    <row r="121" spans="2:6" x14ac:dyDescent="0.35">
      <c r="B121" s="1"/>
      <c r="C121" s="1"/>
      <c r="D121" s="11"/>
      <c r="E121" s="1"/>
      <c r="F121" s="1"/>
    </row>
    <row r="122" spans="2:6" ht="15" thickBot="1" x14ac:dyDescent="0.4">
      <c r="B122" s="1"/>
      <c r="C122" s="1"/>
      <c r="D122" s="11"/>
      <c r="E122" s="1"/>
      <c r="F122" s="1"/>
    </row>
    <row r="123" spans="2:6" ht="19" thickBot="1" x14ac:dyDescent="0.5">
      <c r="B123" s="549" t="s">
        <v>129</v>
      </c>
      <c r="C123" s="550"/>
      <c r="D123" s="550"/>
      <c r="E123" s="550"/>
      <c r="F123" s="551"/>
    </row>
    <row r="124" spans="2:6" ht="16" thickBot="1" x14ac:dyDescent="0.4">
      <c r="B124" s="410" t="s">
        <v>76</v>
      </c>
      <c r="C124" s="411" t="s">
        <v>40</v>
      </c>
      <c r="D124" s="412" t="s">
        <v>39</v>
      </c>
      <c r="E124" s="413" t="s">
        <v>104</v>
      </c>
      <c r="F124" s="414" t="s">
        <v>106</v>
      </c>
    </row>
    <row r="125" spans="2:6" ht="15" x14ac:dyDescent="0.35">
      <c r="B125" s="277">
        <v>45589</v>
      </c>
      <c r="C125" s="419" t="s">
        <v>118</v>
      </c>
      <c r="D125" s="193">
        <v>995000</v>
      </c>
      <c r="E125" s="74" t="s">
        <v>105</v>
      </c>
      <c r="F125" s="75" t="s">
        <v>109</v>
      </c>
    </row>
    <row r="126" spans="2:6" ht="15" x14ac:dyDescent="0.35">
      <c r="B126" s="278">
        <v>45675</v>
      </c>
      <c r="C126" s="382" t="s">
        <v>119</v>
      </c>
      <c r="D126" s="194">
        <v>248750</v>
      </c>
      <c r="E126" s="73" t="s">
        <v>105</v>
      </c>
      <c r="F126" s="13" t="s">
        <v>109</v>
      </c>
    </row>
    <row r="127" spans="2:6" ht="15" x14ac:dyDescent="0.35">
      <c r="B127" s="278">
        <v>45675</v>
      </c>
      <c r="C127" s="382" t="s">
        <v>120</v>
      </c>
      <c r="D127" s="194">
        <v>248750</v>
      </c>
      <c r="E127" s="73" t="s">
        <v>105</v>
      </c>
      <c r="F127" s="13" t="s">
        <v>109</v>
      </c>
    </row>
    <row r="128" spans="2:6" ht="15" x14ac:dyDescent="0.35">
      <c r="B128" s="278">
        <v>45675</v>
      </c>
      <c r="C128" s="382" t="s">
        <v>121</v>
      </c>
      <c r="D128" s="194">
        <v>995000</v>
      </c>
      <c r="E128" s="73" t="s">
        <v>105</v>
      </c>
      <c r="F128" s="13" t="s">
        <v>109</v>
      </c>
    </row>
    <row r="129" spans="2:6" ht="15" x14ac:dyDescent="0.35">
      <c r="B129" s="278">
        <v>45675</v>
      </c>
      <c r="C129" s="382" t="s">
        <v>122</v>
      </c>
      <c r="D129" s="194">
        <v>995000</v>
      </c>
      <c r="E129" s="73" t="s">
        <v>105</v>
      </c>
      <c r="F129" s="13" t="s">
        <v>109</v>
      </c>
    </row>
    <row r="130" spans="2:6" ht="15" x14ac:dyDescent="0.35">
      <c r="B130" s="278">
        <v>45675</v>
      </c>
      <c r="C130" s="382" t="s">
        <v>123</v>
      </c>
      <c r="D130" s="194">
        <v>995000</v>
      </c>
      <c r="E130" s="73" t="s">
        <v>105</v>
      </c>
      <c r="F130" s="13" t="s">
        <v>109</v>
      </c>
    </row>
    <row r="131" spans="2:6" ht="15" x14ac:dyDescent="0.35">
      <c r="B131" s="278">
        <v>45677</v>
      </c>
      <c r="C131" s="382" t="s">
        <v>124</v>
      </c>
      <c r="D131" s="194">
        <v>248750</v>
      </c>
      <c r="E131" s="73" t="s">
        <v>105</v>
      </c>
      <c r="F131" s="13" t="s">
        <v>109</v>
      </c>
    </row>
    <row r="132" spans="2:6" ht="15" x14ac:dyDescent="0.35">
      <c r="B132" s="278">
        <v>45679</v>
      </c>
      <c r="C132" s="382" t="s">
        <v>125</v>
      </c>
      <c r="D132" s="194">
        <v>248750</v>
      </c>
      <c r="E132" s="73" t="s">
        <v>105</v>
      </c>
      <c r="F132" s="13" t="s">
        <v>109</v>
      </c>
    </row>
    <row r="133" spans="2:6" ht="15" x14ac:dyDescent="0.35">
      <c r="B133" s="278">
        <v>45700</v>
      </c>
      <c r="C133" s="382" t="s">
        <v>126</v>
      </c>
      <c r="D133" s="194">
        <v>995000</v>
      </c>
      <c r="E133" s="73" t="s">
        <v>105</v>
      </c>
      <c r="F133" s="13" t="s">
        <v>109</v>
      </c>
    </row>
    <row r="134" spans="2:6" ht="15" x14ac:dyDescent="0.35">
      <c r="B134" s="278">
        <v>45700</v>
      </c>
      <c r="C134" s="382" t="s">
        <v>122</v>
      </c>
      <c r="D134" s="194">
        <v>995000</v>
      </c>
      <c r="E134" s="73" t="s">
        <v>105</v>
      </c>
      <c r="F134" s="13" t="s">
        <v>109</v>
      </c>
    </row>
    <row r="135" spans="2:6" ht="15.5" thickBot="1" x14ac:dyDescent="0.4">
      <c r="B135" s="420"/>
      <c r="C135" s="421"/>
      <c r="D135" s="281"/>
      <c r="E135" s="76"/>
      <c r="F135" s="77"/>
    </row>
    <row r="136" spans="2:6" ht="15.5" thickBot="1" x14ac:dyDescent="0.4">
      <c r="B136" s="415" t="s">
        <v>10</v>
      </c>
      <c r="C136" s="416"/>
      <c r="D136" s="417">
        <f>SUM(D125:D135)</f>
        <v>6965000</v>
      </c>
      <c r="E136" s="96"/>
      <c r="F136" s="418"/>
    </row>
    <row r="137" spans="2:6" ht="15" x14ac:dyDescent="0.35">
      <c r="B137" s="552" t="s">
        <v>146</v>
      </c>
      <c r="C137" s="553"/>
      <c r="D137" s="283">
        <v>7050000</v>
      </c>
      <c r="E137" s="78"/>
      <c r="F137" s="185"/>
    </row>
    <row r="138" spans="2:6" ht="15.5" thickBot="1" x14ac:dyDescent="0.4">
      <c r="B138" s="556"/>
      <c r="C138" s="557"/>
      <c r="D138" s="282"/>
      <c r="E138" s="266"/>
      <c r="F138" s="267"/>
    </row>
    <row r="139" spans="2:6" ht="15" customHeight="1" thickBot="1" x14ac:dyDescent="0.4">
      <c r="B139" s="554" t="s">
        <v>147</v>
      </c>
      <c r="C139" s="555"/>
      <c r="D139" s="381">
        <f>+D136-D137</f>
        <v>-85000</v>
      </c>
      <c r="E139" s="352"/>
      <c r="F139" s="353"/>
    </row>
    <row r="140" spans="2:6" ht="15" thickBot="1" x14ac:dyDescent="0.4">
      <c r="B140" s="633"/>
      <c r="C140" s="634"/>
      <c r="D140" s="635"/>
      <c r="E140" s="218"/>
      <c r="F140" s="243"/>
    </row>
    <row r="141" spans="2:6" ht="18" thickBot="1" x14ac:dyDescent="0.4">
      <c r="B141" s="671" t="s">
        <v>145</v>
      </c>
      <c r="C141" s="672"/>
      <c r="D141" s="450">
        <f>+D94+D120+D139</f>
        <v>607415000</v>
      </c>
      <c r="E141" s="446"/>
      <c r="F141" s="447"/>
    </row>
    <row r="142" spans="2:6" x14ac:dyDescent="0.35">
      <c r="B142" s="1"/>
      <c r="C142" s="1"/>
      <c r="D142" s="11"/>
      <c r="E142" s="1"/>
      <c r="F142" s="1"/>
    </row>
    <row r="143" spans="2:6" ht="15" thickBot="1" x14ac:dyDescent="0.4">
      <c r="B143" s="1"/>
      <c r="C143" s="1"/>
      <c r="D143" s="11"/>
      <c r="E143" s="1"/>
      <c r="F143" s="1"/>
    </row>
    <row r="144" spans="2:6" ht="19" thickBot="1" x14ac:dyDescent="0.4">
      <c r="B144" s="673" t="s">
        <v>128</v>
      </c>
      <c r="C144" s="674"/>
      <c r="D144" s="675"/>
      <c r="E144" s="675"/>
      <c r="F144" s="676"/>
    </row>
    <row r="145" spans="2:6" x14ac:dyDescent="0.35">
      <c r="B145" s="195"/>
      <c r="C145" s="275"/>
      <c r="D145" s="196"/>
      <c r="E145" s="78"/>
      <c r="F145" s="185"/>
    </row>
    <row r="146" spans="2:6" ht="15" x14ac:dyDescent="0.35">
      <c r="B146" s="39" t="s">
        <v>115</v>
      </c>
      <c r="C146" s="269"/>
      <c r="D146" s="194">
        <f>+'JK - ALL'!C131</f>
        <v>17579600</v>
      </c>
      <c r="E146" s="73" t="s">
        <v>105</v>
      </c>
      <c r="F146" s="13" t="s">
        <v>108</v>
      </c>
    </row>
    <row r="147" spans="2:6" ht="15" x14ac:dyDescent="0.35">
      <c r="B147" s="39" t="s">
        <v>84</v>
      </c>
      <c r="C147" s="269"/>
      <c r="D147" s="194">
        <f>1400000+50505+1060606</f>
        <v>2511111</v>
      </c>
      <c r="E147" s="73" t="s">
        <v>105</v>
      </c>
      <c r="F147" s="13" t="s">
        <v>108</v>
      </c>
    </row>
    <row r="148" spans="2:6" ht="15" x14ac:dyDescent="0.35">
      <c r="B148" s="278" t="s">
        <v>223</v>
      </c>
      <c r="C148" s="422" t="s">
        <v>127</v>
      </c>
      <c r="D148" s="194">
        <v>500000</v>
      </c>
      <c r="E148" s="73" t="s">
        <v>105</v>
      </c>
      <c r="F148" s="13" t="s">
        <v>211</v>
      </c>
    </row>
    <row r="149" spans="2:6" ht="15" x14ac:dyDescent="0.35">
      <c r="B149" s="278" t="s">
        <v>250</v>
      </c>
      <c r="C149" s="422" t="s">
        <v>28</v>
      </c>
      <c r="D149" s="194">
        <v>2500000</v>
      </c>
      <c r="E149" s="73" t="s">
        <v>245</v>
      </c>
      <c r="F149" s="13" t="s">
        <v>211</v>
      </c>
    </row>
    <row r="150" spans="2:6" ht="15" x14ac:dyDescent="0.35">
      <c r="B150" s="278" t="s">
        <v>249</v>
      </c>
      <c r="C150" s="422" t="s">
        <v>28</v>
      </c>
      <c r="D150" s="194">
        <v>2500000</v>
      </c>
      <c r="E150" s="73" t="s">
        <v>245</v>
      </c>
      <c r="F150" s="13" t="s">
        <v>211</v>
      </c>
    </row>
    <row r="151" spans="2:6" ht="15" thickBot="1" x14ac:dyDescent="0.4">
      <c r="B151" s="186"/>
      <c r="C151" s="271"/>
      <c r="D151" s="181"/>
      <c r="E151" s="80"/>
      <c r="F151" s="177"/>
    </row>
    <row r="152" spans="2:6" s="4" customFormat="1" ht="17.5" thickBot="1" x14ac:dyDescent="0.4">
      <c r="B152" s="669" t="s">
        <v>10</v>
      </c>
      <c r="C152" s="670"/>
      <c r="D152" s="426">
        <f>SUM(D145:D151)</f>
        <v>25590711</v>
      </c>
      <c r="E152" s="427"/>
      <c r="F152" s="428"/>
    </row>
    <row r="153" spans="2:6" ht="15" thickBot="1" x14ac:dyDescent="0.4">
      <c r="B153" s="423"/>
      <c r="C153" s="1"/>
      <c r="D153" s="424"/>
      <c r="E153" s="1"/>
      <c r="F153" s="106"/>
    </row>
    <row r="154" spans="2:6" ht="19" thickBot="1" x14ac:dyDescent="0.5">
      <c r="B154" s="558" t="s">
        <v>130</v>
      </c>
      <c r="C154" s="559"/>
      <c r="D154" s="425">
        <f>+D141+D152</f>
        <v>633005711</v>
      </c>
      <c r="E154" s="348"/>
      <c r="F154" s="349"/>
    </row>
    <row r="184" spans="2:5" ht="19" thickBot="1" x14ac:dyDescent="0.5">
      <c r="B184" s="668" t="s">
        <v>229</v>
      </c>
      <c r="C184" s="668"/>
      <c r="D184" s="668"/>
      <c r="E184" s="668"/>
    </row>
    <row r="185" spans="2:5" ht="15" thickBot="1" x14ac:dyDescent="0.4">
      <c r="B185" s="454" t="s">
        <v>40</v>
      </c>
      <c r="C185" s="455" t="s">
        <v>220</v>
      </c>
      <c r="D185" s="455" t="s">
        <v>218</v>
      </c>
      <c r="E185" s="456" t="s">
        <v>219</v>
      </c>
    </row>
    <row r="186" spans="2:5" x14ac:dyDescent="0.35">
      <c r="B186" s="339" t="s">
        <v>217</v>
      </c>
      <c r="C186" s="78">
        <f>+'BR Personal'!F63</f>
        <v>349202700</v>
      </c>
      <c r="D186" s="453">
        <v>0.35</v>
      </c>
      <c r="E186" s="457">
        <f>+C190*D186</f>
        <v>341847943.84999996</v>
      </c>
    </row>
    <row r="187" spans="2:5" x14ac:dyDescent="0.35">
      <c r="B187" s="113" t="s">
        <v>216</v>
      </c>
      <c r="C187" s="73">
        <f>+'RL Personal'!D59</f>
        <v>627505711</v>
      </c>
      <c r="D187" s="451">
        <v>0.65</v>
      </c>
      <c r="E187" s="458">
        <f>+C190*D187</f>
        <v>634860467.14999998</v>
      </c>
    </row>
    <row r="188" spans="2:5" x14ac:dyDescent="0.35">
      <c r="B188" s="113"/>
      <c r="C188" s="73"/>
      <c r="D188" s="73"/>
      <c r="E188" s="458"/>
    </row>
    <row r="189" spans="2:5" ht="15" thickBot="1" x14ac:dyDescent="0.4">
      <c r="B189" s="114"/>
      <c r="C189" s="80"/>
      <c r="D189" s="80"/>
      <c r="E189" s="459"/>
    </row>
    <row r="190" spans="2:5" s="21" customFormat="1" ht="19" thickBot="1" x14ac:dyDescent="0.5">
      <c r="B190" s="24" t="s">
        <v>221</v>
      </c>
      <c r="C190" s="104">
        <f>+C186+C187</f>
        <v>976708411</v>
      </c>
      <c r="D190" s="462"/>
      <c r="E190" s="463">
        <f>+E186+E187</f>
        <v>976708411</v>
      </c>
    </row>
    <row r="191" spans="2:5" x14ac:dyDescent="0.35">
      <c r="C191" s="1"/>
      <c r="E191" s="1"/>
    </row>
    <row r="192" spans="2:5" x14ac:dyDescent="0.35">
      <c r="C192" s="1"/>
      <c r="E192" s="1"/>
    </row>
    <row r="193" spans="2:5" x14ac:dyDescent="0.35">
      <c r="C193" s="1"/>
      <c r="E193" s="1"/>
    </row>
    <row r="194" spans="2:5" ht="16" thickBot="1" x14ac:dyDescent="0.4">
      <c r="B194" s="667" t="s">
        <v>230</v>
      </c>
      <c r="C194" s="667"/>
      <c r="E194" s="1"/>
    </row>
    <row r="195" spans="2:5" x14ac:dyDescent="0.35">
      <c r="B195" s="112" t="s">
        <v>224</v>
      </c>
      <c r="C195" s="460">
        <f>+E186</f>
        <v>341847943.84999996</v>
      </c>
      <c r="D195"/>
    </row>
    <row r="196" spans="2:5" x14ac:dyDescent="0.35">
      <c r="B196" s="113" t="s">
        <v>240</v>
      </c>
      <c r="C196" s="452">
        <f>+'BR Personal'!F63</f>
        <v>349202700</v>
      </c>
      <c r="D196"/>
    </row>
    <row r="197" spans="2:5" ht="15" thickBot="1" x14ac:dyDescent="0.4">
      <c r="B197" s="114"/>
      <c r="C197" s="461"/>
      <c r="D197"/>
    </row>
    <row r="198" spans="2:5" ht="19" thickBot="1" x14ac:dyDescent="0.5">
      <c r="B198" s="464" t="s">
        <v>235</v>
      </c>
      <c r="C198" s="465">
        <f>+C196-C195</f>
        <v>7354756.1500000358</v>
      </c>
      <c r="D198"/>
    </row>
    <row r="199" spans="2:5" ht="18.5" x14ac:dyDescent="0.45">
      <c r="B199" s="468" t="s">
        <v>236</v>
      </c>
      <c r="C199" s="469">
        <f>+'BR Personal'!F96</f>
        <v>28733752</v>
      </c>
      <c r="D199"/>
    </row>
    <row r="200" spans="2:5" ht="18.5" x14ac:dyDescent="0.45">
      <c r="B200" s="468"/>
      <c r="C200" s="469"/>
      <c r="D200"/>
    </row>
    <row r="201" spans="2:5" ht="18.5" x14ac:dyDescent="0.45">
      <c r="B201" s="468" t="s">
        <v>237</v>
      </c>
      <c r="C201" s="469">
        <f>+C198+C199</f>
        <v>36088508.150000036</v>
      </c>
      <c r="D201"/>
    </row>
    <row r="202" spans="2:5" ht="18.5" x14ac:dyDescent="0.45">
      <c r="B202" s="468"/>
      <c r="C202" s="469"/>
      <c r="D202"/>
    </row>
    <row r="203" spans="2:5" ht="15" thickBot="1" x14ac:dyDescent="0.4">
      <c r="D203"/>
    </row>
    <row r="204" spans="2:5" x14ac:dyDescent="0.35">
      <c r="B204" s="112" t="s">
        <v>227</v>
      </c>
      <c r="C204" s="460">
        <f>+E187</f>
        <v>634860467.14999998</v>
      </c>
      <c r="D204"/>
    </row>
    <row r="205" spans="2:5" x14ac:dyDescent="0.35">
      <c r="B205" s="113" t="s">
        <v>241</v>
      </c>
      <c r="C205" s="452">
        <f>+C187</f>
        <v>627505711</v>
      </c>
      <c r="D205"/>
    </row>
    <row r="206" spans="2:5" ht="15" thickBot="1" x14ac:dyDescent="0.4">
      <c r="B206" s="114"/>
      <c r="C206" s="461"/>
      <c r="D206"/>
    </row>
    <row r="207" spans="2:5" ht="19" thickBot="1" x14ac:dyDescent="0.5">
      <c r="B207" s="466" t="s">
        <v>234</v>
      </c>
      <c r="C207" s="467">
        <f>+C204-C205</f>
        <v>7354756.1499999762</v>
      </c>
      <c r="D207"/>
    </row>
    <row r="208" spans="2:5" ht="18.5" x14ac:dyDescent="0.45">
      <c r="B208" s="468" t="s">
        <v>238</v>
      </c>
      <c r="C208" s="469">
        <f>+'RL Personal'!D80</f>
        <v>8125000</v>
      </c>
      <c r="D208"/>
    </row>
    <row r="209" spans="2:5" ht="18.5" x14ac:dyDescent="0.45">
      <c r="B209" s="468"/>
      <c r="C209" s="469"/>
      <c r="D209"/>
    </row>
    <row r="210" spans="2:5" ht="18.5" x14ac:dyDescent="0.45">
      <c r="B210" s="468" t="s">
        <v>239</v>
      </c>
      <c r="C210" s="469">
        <f>+C207-C208</f>
        <v>-770243.85000002384</v>
      </c>
      <c r="D210"/>
    </row>
    <row r="211" spans="2:5" x14ac:dyDescent="0.35">
      <c r="D211"/>
    </row>
    <row r="212" spans="2:5" x14ac:dyDescent="0.35">
      <c r="D212"/>
    </row>
    <row r="213" spans="2:5" x14ac:dyDescent="0.35">
      <c r="D213"/>
    </row>
    <row r="214" spans="2:5" ht="19" thickBot="1" x14ac:dyDescent="0.5">
      <c r="B214" s="668" t="s">
        <v>231</v>
      </c>
      <c r="C214" s="668"/>
      <c r="D214" s="668"/>
      <c r="E214" s="668"/>
    </row>
    <row r="215" spans="2:5" ht="15" thickBot="1" x14ac:dyDescent="0.4">
      <c r="B215" s="454" t="s">
        <v>40</v>
      </c>
      <c r="C215" s="455" t="s">
        <v>220</v>
      </c>
      <c r="D215" s="455" t="s">
        <v>218</v>
      </c>
      <c r="E215" s="456" t="s">
        <v>219</v>
      </c>
    </row>
    <row r="216" spans="2:5" x14ac:dyDescent="0.35">
      <c r="B216" s="339" t="s">
        <v>232</v>
      </c>
      <c r="C216" s="78">
        <f>+'BR Personal'!F98</f>
        <v>388985034</v>
      </c>
      <c r="D216" s="453">
        <v>0.35</v>
      </c>
      <c r="E216" s="457">
        <f>+C220*D216</f>
        <v>360365510.75</v>
      </c>
    </row>
    <row r="217" spans="2:5" x14ac:dyDescent="0.35">
      <c r="B217" s="113" t="s">
        <v>233</v>
      </c>
      <c r="C217" s="73">
        <f>+'RL Personal'!D82</f>
        <v>640630711</v>
      </c>
      <c r="D217" s="451">
        <v>0.65</v>
      </c>
      <c r="E217" s="458">
        <f>+C220*D217</f>
        <v>669250234.25</v>
      </c>
    </row>
    <row r="218" spans="2:5" x14ac:dyDescent="0.35">
      <c r="B218" s="113"/>
      <c r="C218" s="73"/>
      <c r="D218" s="73"/>
      <c r="E218" s="458"/>
    </row>
    <row r="219" spans="2:5" ht="15" thickBot="1" x14ac:dyDescent="0.4">
      <c r="B219" s="114"/>
      <c r="C219" s="80"/>
      <c r="D219" s="80"/>
      <c r="E219" s="459"/>
    </row>
    <row r="220" spans="2:5" ht="19" thickBot="1" x14ac:dyDescent="0.5">
      <c r="B220" s="24" t="s">
        <v>221</v>
      </c>
      <c r="C220" s="104">
        <f>+C216+C217</f>
        <v>1029615745</v>
      </c>
      <c r="D220" s="462"/>
      <c r="E220" s="463">
        <f>+E216+E217</f>
        <v>1029615745</v>
      </c>
    </row>
    <row r="221" spans="2:5" x14ac:dyDescent="0.35">
      <c r="C221" s="1"/>
      <c r="E221" s="1"/>
    </row>
    <row r="222" spans="2:5" x14ac:dyDescent="0.35">
      <c r="C222" s="1"/>
      <c r="E222" s="1"/>
    </row>
    <row r="223" spans="2:5" x14ac:dyDescent="0.35">
      <c r="C223" s="1"/>
      <c r="E223" s="1"/>
    </row>
    <row r="224" spans="2:5" ht="16" thickBot="1" x14ac:dyDescent="0.4">
      <c r="B224" s="667" t="s">
        <v>230</v>
      </c>
      <c r="C224" s="667"/>
      <c r="E224" s="1"/>
    </row>
    <row r="225" spans="2:5" x14ac:dyDescent="0.35">
      <c r="B225" s="112" t="s">
        <v>224</v>
      </c>
      <c r="C225" s="460">
        <f>+E216</f>
        <v>360365510.75</v>
      </c>
      <c r="D225"/>
    </row>
    <row r="226" spans="2:5" x14ac:dyDescent="0.35">
      <c r="B226" s="113" t="s">
        <v>225</v>
      </c>
      <c r="C226" s="452">
        <f>+C216</f>
        <v>388985034</v>
      </c>
      <c r="D226"/>
    </row>
    <row r="227" spans="2:5" ht="15" thickBot="1" x14ac:dyDescent="0.4">
      <c r="B227" s="114"/>
      <c r="C227" s="461"/>
      <c r="D227"/>
    </row>
    <row r="228" spans="2:5" ht="19" thickBot="1" x14ac:dyDescent="0.5">
      <c r="B228" s="464" t="s">
        <v>226</v>
      </c>
      <c r="C228" s="465">
        <f>+C226-C225</f>
        <v>28619523.25</v>
      </c>
      <c r="D228"/>
      <c r="E228" s="470">
        <f>+C228-'BR Personal'!F96</f>
        <v>-114228.75</v>
      </c>
    </row>
    <row r="229" spans="2:5" ht="15" thickBot="1" x14ac:dyDescent="0.4">
      <c r="D229"/>
    </row>
    <row r="230" spans="2:5" x14ac:dyDescent="0.35">
      <c r="B230" s="112" t="s">
        <v>227</v>
      </c>
      <c r="C230" s="460">
        <f>+E217</f>
        <v>669250234.25</v>
      </c>
      <c r="D230"/>
    </row>
    <row r="231" spans="2:5" x14ac:dyDescent="0.35">
      <c r="B231" s="113" t="s">
        <v>228</v>
      </c>
      <c r="C231" s="452">
        <f>+C217</f>
        <v>640630711</v>
      </c>
      <c r="D231"/>
    </row>
    <row r="232" spans="2:5" ht="15" thickBot="1" x14ac:dyDescent="0.4">
      <c r="B232" s="114"/>
      <c r="C232" s="461"/>
      <c r="D232"/>
    </row>
    <row r="233" spans="2:5" ht="19" thickBot="1" x14ac:dyDescent="0.5">
      <c r="B233" s="466" t="s">
        <v>234</v>
      </c>
      <c r="C233" s="467">
        <f>+C230-C231</f>
        <v>28619523.25</v>
      </c>
      <c r="D233"/>
    </row>
    <row r="234" spans="2:5" x14ac:dyDescent="0.35">
      <c r="D234"/>
    </row>
    <row r="235" spans="2:5" x14ac:dyDescent="0.35">
      <c r="D235"/>
    </row>
    <row r="236" spans="2:5" x14ac:dyDescent="0.35">
      <c r="D236"/>
    </row>
    <row r="237" spans="2:5" ht="19" thickBot="1" x14ac:dyDescent="0.5">
      <c r="B237" s="668" t="s">
        <v>242</v>
      </c>
      <c r="C237" s="668"/>
      <c r="D237" s="668"/>
      <c r="E237" s="668"/>
    </row>
    <row r="238" spans="2:5" ht="15" thickBot="1" x14ac:dyDescent="0.4">
      <c r="B238" s="454" t="s">
        <v>40</v>
      </c>
      <c r="C238" s="455" t="s">
        <v>220</v>
      </c>
      <c r="D238" s="455" t="s">
        <v>218</v>
      </c>
      <c r="E238" s="456" t="s">
        <v>219</v>
      </c>
    </row>
    <row r="239" spans="2:5" x14ac:dyDescent="0.35">
      <c r="B239" s="339" t="s">
        <v>232</v>
      </c>
      <c r="C239" s="78">
        <f>+C216</f>
        <v>388985034</v>
      </c>
      <c r="D239" s="453">
        <v>0.35</v>
      </c>
      <c r="E239" s="457">
        <f>+C243*D239</f>
        <v>367851621.89999998</v>
      </c>
    </row>
    <row r="240" spans="2:5" x14ac:dyDescent="0.35">
      <c r="B240" s="113" t="s">
        <v>243</v>
      </c>
      <c r="C240" s="73">
        <f>+C217+13888889+7500000</f>
        <v>662019600</v>
      </c>
      <c r="D240" s="451">
        <v>0.65</v>
      </c>
      <c r="E240" s="458">
        <f>+C243*D240</f>
        <v>683153012.10000002</v>
      </c>
    </row>
    <row r="241" spans="2:5" x14ac:dyDescent="0.35">
      <c r="B241" s="113"/>
      <c r="C241" s="73"/>
      <c r="D241" s="73"/>
      <c r="E241" s="458"/>
    </row>
    <row r="242" spans="2:5" ht="15" thickBot="1" x14ac:dyDescent="0.4">
      <c r="B242" s="114"/>
      <c r="C242" s="80"/>
      <c r="D242" s="80"/>
      <c r="E242" s="459"/>
    </row>
    <row r="243" spans="2:5" ht="19" thickBot="1" x14ac:dyDescent="0.5">
      <c r="B243" s="24" t="s">
        <v>221</v>
      </c>
      <c r="C243" s="104">
        <f>+C239+C240</f>
        <v>1051004634</v>
      </c>
      <c r="D243" s="462"/>
      <c r="E243" s="463">
        <f>+E239+E240</f>
        <v>1051004634</v>
      </c>
    </row>
    <row r="244" spans="2:5" x14ac:dyDescent="0.35">
      <c r="C244" s="1"/>
      <c r="E244" s="1"/>
    </row>
    <row r="245" spans="2:5" x14ac:dyDescent="0.35">
      <c r="C245" s="1"/>
      <c r="E245" s="1"/>
    </row>
    <row r="246" spans="2:5" x14ac:dyDescent="0.35">
      <c r="C246" s="1"/>
      <c r="E246" s="1"/>
    </row>
    <row r="247" spans="2:5" ht="16" thickBot="1" x14ac:dyDescent="0.4">
      <c r="B247" s="667" t="s">
        <v>230</v>
      </c>
      <c r="C247" s="667"/>
      <c r="E247" s="1"/>
    </row>
    <row r="248" spans="2:5" x14ac:dyDescent="0.35">
      <c r="B248" s="112" t="s">
        <v>224</v>
      </c>
      <c r="C248" s="460">
        <f>+E239</f>
        <v>367851621.89999998</v>
      </c>
      <c r="D248"/>
    </row>
    <row r="249" spans="2:5" x14ac:dyDescent="0.35">
      <c r="B249" s="113" t="s">
        <v>225</v>
      </c>
      <c r="C249" s="452">
        <f>+C239</f>
        <v>388985034</v>
      </c>
      <c r="D249"/>
    </row>
    <row r="250" spans="2:5" ht="15" thickBot="1" x14ac:dyDescent="0.4">
      <c r="B250" s="114"/>
      <c r="C250" s="461"/>
      <c r="D250"/>
    </row>
    <row r="251" spans="2:5" ht="19" thickBot="1" x14ac:dyDescent="0.5">
      <c r="B251" s="464" t="s">
        <v>226</v>
      </c>
      <c r="C251" s="465">
        <f>+C249-C248</f>
        <v>21133412.100000024</v>
      </c>
      <c r="D251"/>
      <c r="E251" s="470"/>
    </row>
    <row r="252" spans="2:5" ht="15" thickBot="1" x14ac:dyDescent="0.4">
      <c r="D252"/>
    </row>
    <row r="253" spans="2:5" x14ac:dyDescent="0.35">
      <c r="B253" s="112" t="s">
        <v>227</v>
      </c>
      <c r="C253" s="460">
        <f>+E240</f>
        <v>683153012.10000002</v>
      </c>
      <c r="D253"/>
    </row>
    <row r="254" spans="2:5" x14ac:dyDescent="0.35">
      <c r="B254" s="113" t="s">
        <v>228</v>
      </c>
      <c r="C254" s="452">
        <f>+C240</f>
        <v>662019600</v>
      </c>
      <c r="D254"/>
    </row>
    <row r="255" spans="2:5" ht="15" thickBot="1" x14ac:dyDescent="0.4">
      <c r="B255" s="114"/>
      <c r="C255" s="461"/>
      <c r="D255"/>
    </row>
    <row r="256" spans="2:5" ht="19" thickBot="1" x14ac:dyDescent="0.5">
      <c r="B256" s="466" t="s">
        <v>234</v>
      </c>
      <c r="C256" s="467">
        <f>+C253-C254</f>
        <v>21133412.100000024</v>
      </c>
      <c r="D256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</sheetData>
  <mergeCells count="22">
    <mergeCell ref="B62:G62"/>
    <mergeCell ref="B4:G4"/>
    <mergeCell ref="B42:G42"/>
    <mergeCell ref="B57:D57"/>
    <mergeCell ref="B58:D58"/>
    <mergeCell ref="B59:D59"/>
    <mergeCell ref="B86:F86"/>
    <mergeCell ref="B123:F123"/>
    <mergeCell ref="B137:C137"/>
    <mergeCell ref="B138:C138"/>
    <mergeCell ref="B139:C139"/>
    <mergeCell ref="B184:E184"/>
    <mergeCell ref="B152:C152"/>
    <mergeCell ref="B154:C154"/>
    <mergeCell ref="B140:D140"/>
    <mergeCell ref="B141:C141"/>
    <mergeCell ref="B144:F144"/>
    <mergeCell ref="B194:C194"/>
    <mergeCell ref="B214:E214"/>
    <mergeCell ref="B224:C224"/>
    <mergeCell ref="B237:E237"/>
    <mergeCell ref="B247:C24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A675-F28C-4833-B3C4-223292430F01}">
  <dimension ref="C2:J31"/>
  <sheetViews>
    <sheetView workbookViewId="0">
      <selection activeCell="E17" sqref="E17"/>
    </sheetView>
  </sheetViews>
  <sheetFormatPr defaultRowHeight="14.5" x14ac:dyDescent="0.35"/>
  <cols>
    <col min="3" max="3" width="11" customWidth="1"/>
    <col min="4" max="5" width="10.453125" bestFit="1" customWidth="1"/>
    <col min="6" max="6" width="10.08984375" bestFit="1" customWidth="1"/>
    <col min="9" max="9" width="10.81640625" bestFit="1" customWidth="1"/>
    <col min="10" max="10" width="11.26953125" bestFit="1" customWidth="1"/>
  </cols>
  <sheetData>
    <row r="2" spans="3:10" s="4" customFormat="1" ht="15" thickBot="1" x14ac:dyDescent="0.4">
      <c r="C2" s="4" t="s">
        <v>76</v>
      </c>
      <c r="D2" s="4" t="s">
        <v>39</v>
      </c>
      <c r="E2" s="4" t="s">
        <v>275</v>
      </c>
      <c r="F2" s="4" t="s">
        <v>276</v>
      </c>
      <c r="G2" s="4" t="s">
        <v>277</v>
      </c>
      <c r="H2" s="4" t="s">
        <v>149</v>
      </c>
      <c r="I2" s="4" t="s">
        <v>39</v>
      </c>
      <c r="J2" s="4" t="s">
        <v>278</v>
      </c>
    </row>
    <row r="3" spans="3:10" ht="15.5" thickBot="1" x14ac:dyDescent="0.4">
      <c r="C3" s="432">
        <v>45488</v>
      </c>
      <c r="D3" s="193">
        <v>90000000</v>
      </c>
      <c r="E3" s="494">
        <f>C3</f>
        <v>45488</v>
      </c>
      <c r="F3" s="432">
        <v>46268</v>
      </c>
      <c r="G3">
        <f>F3-E3</f>
        <v>780</v>
      </c>
      <c r="H3" s="498">
        <v>0.24</v>
      </c>
      <c r="I3" s="496">
        <f>D3*G3*H3/365</f>
        <v>46158904.10958904</v>
      </c>
      <c r="J3" s="497">
        <f>+D3+I3</f>
        <v>136158904.10958904</v>
      </c>
    </row>
    <row r="4" spans="3:10" ht="15.5" thickBot="1" x14ac:dyDescent="0.4">
      <c r="C4" s="430">
        <v>45512</v>
      </c>
      <c r="D4" s="194">
        <v>10000000</v>
      </c>
      <c r="E4" s="495">
        <f>C4</f>
        <v>45512</v>
      </c>
      <c r="F4" s="432">
        <v>46268</v>
      </c>
      <c r="G4">
        <f>F4-E4</f>
        <v>756</v>
      </c>
      <c r="H4" s="498">
        <v>0.24</v>
      </c>
      <c r="I4" s="496">
        <f>D4*G4*H4/365</f>
        <v>4970958.9041095888</v>
      </c>
      <c r="J4" s="497">
        <f>+D4+I4</f>
        <v>14970958.90410959</v>
      </c>
    </row>
    <row r="5" spans="3:10" ht="15.5" thickBot="1" x14ac:dyDescent="0.4">
      <c r="C5" s="430">
        <v>45541</v>
      </c>
      <c r="D5" s="194">
        <v>10000000</v>
      </c>
      <c r="E5" s="495">
        <f t="shared" ref="E5:E31" si="0">C5</f>
        <v>45541</v>
      </c>
      <c r="F5" s="432">
        <v>46268</v>
      </c>
      <c r="G5">
        <f t="shared" ref="G5:G31" si="1">F5-E5</f>
        <v>727</v>
      </c>
      <c r="H5" s="498">
        <v>0.24</v>
      </c>
      <c r="I5" s="496">
        <f t="shared" ref="I5:I31" si="2">D5*G5*H5/365</f>
        <v>4780273.9726027399</v>
      </c>
      <c r="J5" s="497">
        <f t="shared" ref="J5:J31" si="3">+D5+I5</f>
        <v>14780273.97260274</v>
      </c>
    </row>
    <row r="6" spans="3:10" ht="15.5" thickBot="1" x14ac:dyDescent="0.4">
      <c r="C6" s="430">
        <v>45545</v>
      </c>
      <c r="D6" s="194">
        <v>21000000</v>
      </c>
      <c r="E6" s="495">
        <f t="shared" si="0"/>
        <v>45545</v>
      </c>
      <c r="F6" s="432">
        <v>46268</v>
      </c>
      <c r="G6">
        <f t="shared" si="1"/>
        <v>723</v>
      </c>
      <c r="H6" s="498">
        <v>0.24</v>
      </c>
      <c r="I6" s="496">
        <f t="shared" si="2"/>
        <v>9983342.4657534249</v>
      </c>
      <c r="J6" s="497">
        <f t="shared" si="3"/>
        <v>30983342.465753425</v>
      </c>
    </row>
    <row r="7" spans="3:10" ht="15.5" thickBot="1" x14ac:dyDescent="0.4">
      <c r="C7" s="430">
        <v>45563</v>
      </c>
      <c r="D7" s="194">
        <v>29000000</v>
      </c>
      <c r="E7" s="495">
        <f t="shared" si="0"/>
        <v>45563</v>
      </c>
      <c r="F7" s="432">
        <v>46268</v>
      </c>
      <c r="G7">
        <f t="shared" si="1"/>
        <v>705</v>
      </c>
      <c r="H7" s="498">
        <v>0.24</v>
      </c>
      <c r="I7" s="496">
        <f t="shared" si="2"/>
        <v>13443287.671232877</v>
      </c>
      <c r="J7" s="497">
        <f t="shared" si="3"/>
        <v>42443287.671232879</v>
      </c>
    </row>
    <row r="8" spans="3:10" ht="15.5" thickBot="1" x14ac:dyDescent="0.4">
      <c r="C8" s="430">
        <v>45567</v>
      </c>
      <c r="D8" s="194">
        <v>10000000</v>
      </c>
      <c r="E8" s="495">
        <f t="shared" si="0"/>
        <v>45567</v>
      </c>
      <c r="F8" s="432">
        <v>46268</v>
      </c>
      <c r="G8">
        <f t="shared" si="1"/>
        <v>701</v>
      </c>
      <c r="H8" s="498">
        <v>0.24</v>
      </c>
      <c r="I8" s="496">
        <f t="shared" si="2"/>
        <v>4609315.0684931511</v>
      </c>
      <c r="J8" s="497">
        <f t="shared" si="3"/>
        <v>14609315.06849315</v>
      </c>
    </row>
    <row r="9" spans="3:10" ht="15.5" thickBot="1" x14ac:dyDescent="0.4">
      <c r="C9" s="430">
        <v>45569</v>
      </c>
      <c r="D9" s="194">
        <v>20000000</v>
      </c>
      <c r="E9" s="495">
        <f t="shared" si="0"/>
        <v>45569</v>
      </c>
      <c r="F9" s="432">
        <v>46268</v>
      </c>
      <c r="G9">
        <f t="shared" si="1"/>
        <v>699</v>
      </c>
      <c r="H9" s="498">
        <v>0.24</v>
      </c>
      <c r="I9" s="496">
        <f t="shared" si="2"/>
        <v>9192328.7671232875</v>
      </c>
      <c r="J9" s="497">
        <f t="shared" si="3"/>
        <v>29192328.767123289</v>
      </c>
    </row>
    <row r="10" spans="3:10" ht="15.5" thickBot="1" x14ac:dyDescent="0.4">
      <c r="C10" s="430">
        <v>45572</v>
      </c>
      <c r="D10" s="194">
        <v>10000000</v>
      </c>
      <c r="E10" s="495">
        <f t="shared" si="0"/>
        <v>45572</v>
      </c>
      <c r="F10" s="432">
        <v>46268</v>
      </c>
      <c r="G10">
        <f t="shared" si="1"/>
        <v>696</v>
      </c>
      <c r="H10" s="498">
        <v>0.24</v>
      </c>
      <c r="I10" s="496">
        <f t="shared" si="2"/>
        <v>4576438.3561643837</v>
      </c>
      <c r="J10" s="497">
        <f t="shared" si="3"/>
        <v>14576438.356164385</v>
      </c>
    </row>
    <row r="11" spans="3:10" ht="15.5" thickBot="1" x14ac:dyDescent="0.4">
      <c r="C11" s="430">
        <v>45574</v>
      </c>
      <c r="D11" s="194">
        <v>15000000</v>
      </c>
      <c r="E11" s="495">
        <f t="shared" si="0"/>
        <v>45574</v>
      </c>
      <c r="F11" s="432">
        <v>46268</v>
      </c>
      <c r="G11">
        <f t="shared" si="1"/>
        <v>694</v>
      </c>
      <c r="H11" s="498">
        <v>0.24</v>
      </c>
      <c r="I11" s="496">
        <f t="shared" si="2"/>
        <v>6844931.506849315</v>
      </c>
      <c r="J11" s="497">
        <f t="shared" si="3"/>
        <v>21844931.506849315</v>
      </c>
    </row>
    <row r="12" spans="3:10" ht="15.5" thickBot="1" x14ac:dyDescent="0.4">
      <c r="C12" s="430">
        <v>45580</v>
      </c>
      <c r="D12" s="194">
        <v>23000000</v>
      </c>
      <c r="E12" s="495">
        <f t="shared" si="0"/>
        <v>45580</v>
      </c>
      <c r="F12" s="432">
        <v>46268</v>
      </c>
      <c r="G12">
        <f t="shared" si="1"/>
        <v>688</v>
      </c>
      <c r="H12" s="498">
        <v>0.24</v>
      </c>
      <c r="I12" s="496">
        <f t="shared" si="2"/>
        <v>10404821.91780822</v>
      </c>
      <c r="J12" s="497">
        <f t="shared" si="3"/>
        <v>33404821.91780822</v>
      </c>
    </row>
    <row r="13" spans="3:10" ht="15.5" thickBot="1" x14ac:dyDescent="0.4">
      <c r="C13" s="430">
        <v>45581</v>
      </c>
      <c r="D13" s="194">
        <v>17000000</v>
      </c>
      <c r="E13" s="495">
        <f t="shared" si="0"/>
        <v>45581</v>
      </c>
      <c r="F13" s="432">
        <v>46268</v>
      </c>
      <c r="G13">
        <f t="shared" si="1"/>
        <v>687</v>
      </c>
      <c r="H13" s="498">
        <v>0.24</v>
      </c>
      <c r="I13" s="496">
        <f t="shared" si="2"/>
        <v>7679342.4657534249</v>
      </c>
      <c r="J13" s="497">
        <f t="shared" si="3"/>
        <v>24679342.465753425</v>
      </c>
    </row>
    <row r="14" spans="3:10" ht="15.5" thickBot="1" x14ac:dyDescent="0.4">
      <c r="C14" s="430">
        <v>45701</v>
      </c>
      <c r="D14" s="194">
        <v>30000000</v>
      </c>
      <c r="E14" s="495">
        <f t="shared" si="0"/>
        <v>45701</v>
      </c>
      <c r="F14" s="432">
        <v>46268</v>
      </c>
      <c r="G14">
        <f t="shared" si="1"/>
        <v>567</v>
      </c>
      <c r="H14" s="498">
        <v>0.24</v>
      </c>
      <c r="I14" s="496">
        <f t="shared" si="2"/>
        <v>11184657.534246575</v>
      </c>
      <c r="J14" s="497">
        <f t="shared" si="3"/>
        <v>41184657.534246579</v>
      </c>
    </row>
    <row r="15" spans="3:10" ht="15.5" thickBot="1" x14ac:dyDescent="0.4">
      <c r="C15" s="430">
        <v>45705</v>
      </c>
      <c r="D15" s="194">
        <v>28000000</v>
      </c>
      <c r="E15" s="495">
        <f t="shared" si="0"/>
        <v>45705</v>
      </c>
      <c r="F15" s="432">
        <v>46268</v>
      </c>
      <c r="G15">
        <f t="shared" si="1"/>
        <v>563</v>
      </c>
      <c r="H15" s="498">
        <v>0.24</v>
      </c>
      <c r="I15" s="496">
        <f t="shared" si="2"/>
        <v>10365369.863013698</v>
      </c>
      <c r="J15" s="497">
        <f t="shared" si="3"/>
        <v>38365369.8630137</v>
      </c>
    </row>
    <row r="16" spans="3:10" ht="15.5" thickBot="1" x14ac:dyDescent="0.4">
      <c r="C16" s="430">
        <v>45708</v>
      </c>
      <c r="D16" s="194">
        <v>12000000</v>
      </c>
      <c r="E16" s="495">
        <f t="shared" si="0"/>
        <v>45708</v>
      </c>
      <c r="F16" s="432">
        <v>46268</v>
      </c>
      <c r="G16">
        <f t="shared" si="1"/>
        <v>560</v>
      </c>
      <c r="H16" s="498">
        <v>0.24</v>
      </c>
      <c r="I16" s="496">
        <f t="shared" si="2"/>
        <v>4418630.1369863013</v>
      </c>
      <c r="J16" s="497">
        <f t="shared" si="3"/>
        <v>16418630.1369863</v>
      </c>
    </row>
    <row r="17" spans="3:10" ht="15.5" thickBot="1" x14ac:dyDescent="0.4">
      <c r="C17" s="430" t="s">
        <v>47</v>
      </c>
      <c r="D17" s="194">
        <v>8500000</v>
      </c>
      <c r="E17" s="495" t="str">
        <f t="shared" si="0"/>
        <v>13-03-2025</v>
      </c>
      <c r="F17" s="432">
        <v>46268</v>
      </c>
      <c r="G17" t="e">
        <f t="shared" si="1"/>
        <v>#VALUE!</v>
      </c>
      <c r="H17" s="498">
        <v>0.24</v>
      </c>
      <c r="I17" s="496" t="e">
        <f t="shared" si="2"/>
        <v>#VALUE!</v>
      </c>
      <c r="J17" s="497" t="e">
        <f t="shared" si="3"/>
        <v>#VALUE!</v>
      </c>
    </row>
    <row r="18" spans="3:10" ht="15.5" thickBot="1" x14ac:dyDescent="0.4">
      <c r="C18" s="434" t="s">
        <v>48</v>
      </c>
      <c r="D18" s="194">
        <v>11500000</v>
      </c>
      <c r="E18" s="495" t="str">
        <f t="shared" si="0"/>
        <v>26-03-2025</v>
      </c>
      <c r="F18" s="432">
        <v>46268</v>
      </c>
      <c r="G18" t="e">
        <f t="shared" si="1"/>
        <v>#VALUE!</v>
      </c>
      <c r="H18" s="498">
        <v>0.24</v>
      </c>
      <c r="I18" s="496" t="e">
        <f t="shared" si="2"/>
        <v>#VALUE!</v>
      </c>
      <c r="J18" s="497" t="e">
        <f t="shared" si="3"/>
        <v>#VALUE!</v>
      </c>
    </row>
    <row r="19" spans="3:10" ht="15.5" thickBot="1" x14ac:dyDescent="0.4">
      <c r="C19" s="434" t="s">
        <v>49</v>
      </c>
      <c r="D19" s="194">
        <v>30000000</v>
      </c>
      <c r="E19" s="495" t="str">
        <f t="shared" si="0"/>
        <v>29-03-2025</v>
      </c>
      <c r="F19" s="432">
        <v>46268</v>
      </c>
      <c r="G19" t="e">
        <f t="shared" si="1"/>
        <v>#VALUE!</v>
      </c>
      <c r="H19" s="498">
        <v>0.24</v>
      </c>
      <c r="I19" s="496" t="e">
        <f t="shared" si="2"/>
        <v>#VALUE!</v>
      </c>
      <c r="J19" s="497" t="e">
        <f t="shared" si="3"/>
        <v>#VALUE!</v>
      </c>
    </row>
    <row r="20" spans="3:10" ht="15.5" thickBot="1" x14ac:dyDescent="0.4">
      <c r="C20" s="430">
        <v>45751</v>
      </c>
      <c r="D20" s="194">
        <v>2500000</v>
      </c>
      <c r="E20" s="495">
        <f t="shared" si="0"/>
        <v>45751</v>
      </c>
      <c r="F20" s="432">
        <v>46268</v>
      </c>
      <c r="G20">
        <f t="shared" si="1"/>
        <v>517</v>
      </c>
      <c r="H20" s="498">
        <v>0.24</v>
      </c>
      <c r="I20" s="496">
        <f t="shared" si="2"/>
        <v>849863.01369863015</v>
      </c>
      <c r="J20" s="497">
        <f t="shared" si="3"/>
        <v>3349863.01369863</v>
      </c>
    </row>
    <row r="21" spans="3:10" ht="15.5" thickBot="1" x14ac:dyDescent="0.4">
      <c r="C21" s="430">
        <v>45785</v>
      </c>
      <c r="D21" s="194">
        <v>11000000</v>
      </c>
      <c r="E21" s="495">
        <f t="shared" si="0"/>
        <v>45785</v>
      </c>
      <c r="F21" s="432">
        <v>46268</v>
      </c>
      <c r="G21">
        <f t="shared" si="1"/>
        <v>483</v>
      </c>
      <c r="H21" s="498">
        <v>0.24</v>
      </c>
      <c r="I21" s="496">
        <f t="shared" si="2"/>
        <v>3493479.4520547944</v>
      </c>
      <c r="J21" s="497">
        <f t="shared" si="3"/>
        <v>14493479.452054795</v>
      </c>
    </row>
    <row r="22" spans="3:10" ht="15.5" thickBot="1" x14ac:dyDescent="0.4">
      <c r="C22" s="430">
        <v>45786</v>
      </c>
      <c r="D22" s="194">
        <v>9000000</v>
      </c>
      <c r="E22" s="495">
        <f t="shared" si="0"/>
        <v>45786</v>
      </c>
      <c r="F22" s="432">
        <v>46268</v>
      </c>
      <c r="G22">
        <f t="shared" si="1"/>
        <v>482</v>
      </c>
      <c r="H22" s="498">
        <v>0.24</v>
      </c>
      <c r="I22" s="496">
        <f t="shared" si="2"/>
        <v>2852383.5616438356</v>
      </c>
      <c r="J22" s="497">
        <f t="shared" si="3"/>
        <v>11852383.561643835</v>
      </c>
    </row>
    <row r="23" spans="3:10" ht="15.5" thickBot="1" x14ac:dyDescent="0.4">
      <c r="C23" s="430">
        <v>45790</v>
      </c>
      <c r="D23" s="194">
        <v>25000000</v>
      </c>
      <c r="E23" s="495">
        <f t="shared" si="0"/>
        <v>45790</v>
      </c>
      <c r="F23" s="432">
        <v>46268</v>
      </c>
      <c r="G23">
        <f t="shared" si="1"/>
        <v>478</v>
      </c>
      <c r="H23" s="498">
        <v>0.24</v>
      </c>
      <c r="I23" s="496">
        <f t="shared" si="2"/>
        <v>7857534.2465753425</v>
      </c>
      <c r="J23" s="497">
        <f t="shared" si="3"/>
        <v>32857534.246575341</v>
      </c>
    </row>
    <row r="24" spans="3:10" ht="15.5" thickBot="1" x14ac:dyDescent="0.4">
      <c r="C24" s="430">
        <v>45791</v>
      </c>
      <c r="D24" s="194">
        <v>10000000</v>
      </c>
      <c r="E24" s="495">
        <f t="shared" si="0"/>
        <v>45791</v>
      </c>
      <c r="F24" s="432">
        <v>46268</v>
      </c>
      <c r="G24">
        <f t="shared" si="1"/>
        <v>477</v>
      </c>
      <c r="H24" s="498">
        <v>0.24</v>
      </c>
      <c r="I24" s="496">
        <f t="shared" si="2"/>
        <v>3136438.3561643837</v>
      </c>
      <c r="J24" s="497">
        <f t="shared" si="3"/>
        <v>13136438.356164385</v>
      </c>
    </row>
    <row r="25" spans="3:10" ht="15.5" thickBot="1" x14ac:dyDescent="0.4">
      <c r="C25" s="430">
        <v>45799</v>
      </c>
      <c r="D25" s="194">
        <v>5000000</v>
      </c>
      <c r="E25" s="495">
        <f t="shared" si="0"/>
        <v>45799</v>
      </c>
      <c r="F25" s="432">
        <v>46268</v>
      </c>
      <c r="G25">
        <f t="shared" si="1"/>
        <v>469</v>
      </c>
      <c r="H25" s="498">
        <v>0.24</v>
      </c>
      <c r="I25" s="496">
        <f t="shared" si="2"/>
        <v>1541917.8082191781</v>
      </c>
      <c r="J25" s="497">
        <f t="shared" si="3"/>
        <v>6541917.8082191776</v>
      </c>
    </row>
    <row r="26" spans="3:10" ht="15.5" thickBot="1" x14ac:dyDescent="0.4">
      <c r="C26" s="430">
        <v>45513</v>
      </c>
      <c r="D26" s="194">
        <v>65000000</v>
      </c>
      <c r="E26" s="495">
        <f t="shared" si="0"/>
        <v>45513</v>
      </c>
      <c r="F26" s="432">
        <v>46268</v>
      </c>
      <c r="G26">
        <f t="shared" si="1"/>
        <v>755</v>
      </c>
      <c r="I26" s="496">
        <f t="shared" si="2"/>
        <v>0</v>
      </c>
      <c r="J26" s="497">
        <f t="shared" si="3"/>
        <v>65000000</v>
      </c>
    </row>
    <row r="27" spans="3:10" ht="15.5" thickBot="1" x14ac:dyDescent="0.4">
      <c r="C27" s="430">
        <v>45518</v>
      </c>
      <c r="D27" s="194">
        <v>85000000</v>
      </c>
      <c r="E27" s="495">
        <f t="shared" si="0"/>
        <v>45518</v>
      </c>
      <c r="F27" s="432">
        <v>46268</v>
      </c>
      <c r="G27">
        <f t="shared" si="1"/>
        <v>750</v>
      </c>
      <c r="I27" s="496">
        <f t="shared" si="2"/>
        <v>0</v>
      </c>
      <c r="J27" s="497">
        <f t="shared" si="3"/>
        <v>85000000</v>
      </c>
    </row>
    <row r="28" spans="3:10" ht="15.5" thickBot="1" x14ac:dyDescent="0.4">
      <c r="C28" s="430">
        <v>45559</v>
      </c>
      <c r="D28" s="194">
        <v>20000000</v>
      </c>
      <c r="E28" s="495">
        <f t="shared" si="0"/>
        <v>45559</v>
      </c>
      <c r="F28" s="432">
        <v>46268</v>
      </c>
      <c r="G28">
        <f t="shared" si="1"/>
        <v>709</v>
      </c>
      <c r="I28" s="496">
        <f t="shared" si="2"/>
        <v>0</v>
      </c>
      <c r="J28" s="497">
        <f t="shared" si="3"/>
        <v>20000000</v>
      </c>
    </row>
    <row r="29" spans="3:10" ht="15.5" thickBot="1" x14ac:dyDescent="0.4">
      <c r="C29" t="s">
        <v>273</v>
      </c>
      <c r="D29" s="194">
        <v>7579600</v>
      </c>
      <c r="E29" s="495" t="str">
        <f t="shared" si="0"/>
        <v>17-10-2024</v>
      </c>
      <c r="F29" s="432">
        <v>46268</v>
      </c>
      <c r="G29" t="e">
        <f t="shared" si="1"/>
        <v>#VALUE!</v>
      </c>
      <c r="I29" s="496" t="e">
        <f t="shared" si="2"/>
        <v>#VALUE!</v>
      </c>
      <c r="J29" s="497" t="e">
        <f t="shared" si="3"/>
        <v>#VALUE!</v>
      </c>
    </row>
    <row r="30" spans="3:10" ht="15.5" thickBot="1" x14ac:dyDescent="0.4">
      <c r="C30" t="s">
        <v>274</v>
      </c>
      <c r="D30" s="194">
        <v>10000000</v>
      </c>
      <c r="E30" s="495" t="str">
        <f t="shared" si="0"/>
        <v>23-05-2025</v>
      </c>
      <c r="F30" s="432">
        <v>46268</v>
      </c>
      <c r="G30" t="e">
        <f t="shared" si="1"/>
        <v>#VALUE!</v>
      </c>
      <c r="I30" s="496" t="e">
        <f t="shared" si="2"/>
        <v>#VALUE!</v>
      </c>
      <c r="J30" s="497" t="e">
        <f t="shared" si="3"/>
        <v>#VALUE!</v>
      </c>
    </row>
    <row r="31" spans="3:10" ht="15" x14ac:dyDescent="0.35">
      <c r="C31" t="s">
        <v>274</v>
      </c>
      <c r="D31" s="194">
        <f>1400000+50505+1060606</f>
        <v>2511111</v>
      </c>
      <c r="E31" s="495" t="str">
        <f t="shared" si="0"/>
        <v>23-05-2025</v>
      </c>
      <c r="F31" s="432">
        <v>46268</v>
      </c>
      <c r="G31" t="e">
        <f t="shared" si="1"/>
        <v>#VALUE!</v>
      </c>
      <c r="I31" s="496" t="e">
        <f t="shared" si="2"/>
        <v>#VALUE!</v>
      </c>
      <c r="J31" s="497" t="e">
        <f t="shared" si="3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JK - ALL</vt:lpstr>
      <vt:lpstr>Summary2</vt:lpstr>
      <vt:lpstr>201</vt:lpstr>
      <vt:lpstr>13</vt:lpstr>
      <vt:lpstr>RL Personal</vt:lpstr>
      <vt:lpstr>BR Personal</vt:lpstr>
      <vt:lpstr>Break-up BR Expenses</vt:lpstr>
      <vt:lpstr>Sheet2</vt:lpstr>
      <vt:lpstr>Interest Sheet</vt:lpstr>
      <vt:lpstr>'BR Personal'!Print_Area</vt:lpstr>
      <vt:lpstr>'Break-up BR Expenses'!Print_Area</vt:lpstr>
      <vt:lpstr>'RL Personal'!Print_Area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BRN INFRASTRUCTURES PVT LTD</cp:lastModifiedBy>
  <cp:lastPrinted>2026-04-09T09:00:49Z</cp:lastPrinted>
  <dcterms:created xsi:type="dcterms:W3CDTF">2024-09-20T10:24:52Z</dcterms:created>
  <dcterms:modified xsi:type="dcterms:W3CDTF">2026-05-15T05:44:47Z</dcterms:modified>
</cp:coreProperties>
</file>