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B471B04-A331-4C0A-BD1D-B53804C561D4}" xr6:coauthVersionLast="47" xr6:coauthVersionMax="47" xr10:uidLastSave="{00000000-0000-0000-0000-000000000000}"/>
  <bookViews>
    <workbookView xWindow="-110" yWindow="-110" windowWidth="19420" windowHeight="11500" firstSheet="3" activeTab="7" xr2:uid="{00000000-000D-0000-FFFF-FFFF00000000}"/>
  </bookViews>
  <sheets>
    <sheet name="Madan Dhayal" sheetId="6" r:id="rId1"/>
    <sheet name="SHRI RAM LAMBA" sheetId="7" r:id="rId2"/>
    <sheet name="Rajesh ji Dukiya" sheetId="8" r:id="rId3"/>
    <sheet name="SURJA RAM DUKIYA" sheetId="11" r:id="rId4"/>
    <sheet name="Sheet7" sheetId="12" r:id="rId5"/>
    <sheet name="Bajrang Khati" sheetId="16" r:id="rId6"/>
    <sheet name="Pappu Morad" sheetId="17" r:id="rId7"/>
    <sheet name="Prakash Ji Somani" sheetId="14" r:id="rId8"/>
    <sheet name="Madan Dhayal (2)" sheetId="15" r:id="rId9"/>
    <sheet name="Mahipal Dukiya" sheetId="13" r:id="rId10"/>
    <sheet name="Subhash K" sheetId="18" r:id="rId11"/>
    <sheet name="Asuram Kirdoliya" sheetId="19" r:id="rId12"/>
    <sheet name="Jhabar" sheetId="21" r:id="rId13"/>
    <sheet name="Ankit" sheetId="20" r:id="rId14"/>
    <sheet name="Sukharam &amp; Others" sheetId="23" r:id="rId15"/>
    <sheet name="KULDEEP" sheetId="22" r:id="rId16"/>
    <sheet name="Sheet1" sheetId="24" r:id="rId17"/>
    <sheet name="Sheet2" sheetId="25" r:id="rId18"/>
  </sheets>
  <definedNames>
    <definedName name="_xlnm.Print_Area" localSheetId="8">'Madan Dhayal (2)'!$A$381:$B$412</definedName>
    <definedName name="_xlnm.Print_Area" localSheetId="9">'Mahipal Dukiya'!$B$1:$I$15</definedName>
    <definedName name="_xlnm.Print_Area" localSheetId="7">'Prakash Ji Somani'!$B$31:$J$53</definedName>
    <definedName name="_xlnm.Print_Area" localSheetId="2">'Rajesh ji Dukiya'!$A$101:$H$108</definedName>
    <definedName name="_xlnm.Print_Area" localSheetId="16">Sheet1!$A$1:$H$69</definedName>
    <definedName name="_xlnm.Print_Area" localSheetId="1">'SHRI RAM LAMBA'!$B$2:$I$25</definedName>
    <definedName name="_xlnm.Print_Area" localSheetId="10">'Subhash K'!$A$61:$I$82</definedName>
    <definedName name="_xlnm.Print_Area" localSheetId="3">'SURJA RAM DUKIYA'!$A$41:$H$55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8" i="14" l="1"/>
  <c r="H138" i="14" s="1"/>
  <c r="I138" i="14" s="1"/>
  <c r="D136" i="14"/>
  <c r="F136" i="14" s="1"/>
  <c r="F135" i="14"/>
  <c r="H135" i="14" s="1"/>
  <c r="I135" i="14" s="1"/>
  <c r="D133" i="14"/>
  <c r="F133" i="14" s="1"/>
  <c r="F132" i="14"/>
  <c r="H132" i="14" s="1"/>
  <c r="I132" i="14" s="1"/>
  <c r="D130" i="14"/>
  <c r="F130" i="14" s="1"/>
  <c r="D124" i="14"/>
  <c r="F124" i="14" s="1"/>
  <c r="D62" i="22"/>
  <c r="E99" i="22"/>
  <c r="G99" i="22" s="1"/>
  <c r="I102" i="22"/>
  <c r="E98" i="22"/>
  <c r="G97" i="22"/>
  <c r="I97" i="22" s="1"/>
  <c r="I89" i="22"/>
  <c r="E86" i="22"/>
  <c r="G86" i="22"/>
  <c r="G85" i="22"/>
  <c r="I85" i="22" s="1"/>
  <c r="G76" i="22"/>
  <c r="I76" i="22" s="1"/>
  <c r="J76" i="22" s="1"/>
  <c r="D56" i="22"/>
  <c r="G51" i="22"/>
  <c r="I51" i="22" s="1"/>
  <c r="J51" i="22" s="1"/>
  <c r="H136" i="14" l="1"/>
  <c r="I136" i="14" s="1"/>
  <c r="H133" i="14"/>
  <c r="I133" i="14"/>
  <c r="I57" i="22"/>
  <c r="G98" i="22"/>
  <c r="J97" i="22"/>
  <c r="I78" i="22"/>
  <c r="J85" i="22"/>
  <c r="G50" i="22"/>
  <c r="I50" i="22" s="1"/>
  <c r="J50" i="22" s="1"/>
  <c r="G52" i="22"/>
  <c r="I52" i="22" s="1"/>
  <c r="F97" i="23"/>
  <c r="H97" i="23" s="1"/>
  <c r="I97" i="23" s="1"/>
  <c r="D130" i="23"/>
  <c r="D126" i="23"/>
  <c r="F110" i="23"/>
  <c r="H110" i="23" s="1"/>
  <c r="I110" i="23" s="1"/>
  <c r="F109" i="23"/>
  <c r="H109" i="23" s="1"/>
  <c r="I109" i="23" s="1"/>
  <c r="C91" i="23"/>
  <c r="C100" i="23"/>
  <c r="F96" i="23"/>
  <c r="H96" i="23" s="1"/>
  <c r="I96" i="23" s="1"/>
  <c r="F95" i="23"/>
  <c r="H95" i="23" s="1"/>
  <c r="I95" i="23" s="1"/>
  <c r="F94" i="23"/>
  <c r="H94" i="23" s="1"/>
  <c r="I94" i="23" s="1"/>
  <c r="F87" i="23"/>
  <c r="H87" i="23" s="1"/>
  <c r="H82" i="21"/>
  <c r="F77" i="21"/>
  <c r="H77" i="21" s="1"/>
  <c r="I77" i="21" s="1"/>
  <c r="F76" i="21"/>
  <c r="H76" i="21" s="1"/>
  <c r="F67" i="21"/>
  <c r="H67" i="21" s="1"/>
  <c r="I67" i="21" s="1"/>
  <c r="H59" i="21"/>
  <c r="F54" i="21"/>
  <c r="H54" i="21" s="1"/>
  <c r="I54" i="21" s="1"/>
  <c r="F53" i="21"/>
  <c r="H53" i="21" s="1"/>
  <c r="I53" i="21" s="1"/>
  <c r="F52" i="21"/>
  <c r="H52" i="21" s="1"/>
  <c r="I52" i="21" s="1"/>
  <c r="I86" i="22" l="1"/>
  <c r="I88" i="22" s="1"/>
  <c r="I90" i="22" s="1"/>
  <c r="I98" i="22"/>
  <c r="J98" i="22"/>
  <c r="I99" i="22" s="1"/>
  <c r="J99" i="22" s="1"/>
  <c r="J52" i="22"/>
  <c r="I56" i="22"/>
  <c r="I58" i="22" s="1"/>
  <c r="H112" i="23"/>
  <c r="H102" i="23"/>
  <c r="H100" i="23"/>
  <c r="I87" i="23"/>
  <c r="H62" i="21"/>
  <c r="H81" i="21"/>
  <c r="H83" i="21" s="1"/>
  <c r="H85" i="21" s="1"/>
  <c r="H90" i="21" s="1"/>
  <c r="I76" i="21"/>
  <c r="F51" i="21"/>
  <c r="H51" i="21" s="1"/>
  <c r="I51" i="21" s="1"/>
  <c r="F50" i="21"/>
  <c r="H50" i="21" s="1"/>
  <c r="I50" i="21" s="1"/>
  <c r="I101" i="22" l="1"/>
  <c r="I103" i="22" s="1"/>
  <c r="J86" i="22"/>
  <c r="D36" i="21"/>
  <c r="F36" i="21" s="1"/>
  <c r="D35" i="21"/>
  <c r="F35" i="21" s="1"/>
  <c r="H41" i="21"/>
  <c r="H34" i="21"/>
  <c r="I34" i="21" s="1"/>
  <c r="H58" i="21" l="1"/>
  <c r="H60" i="21" s="1"/>
  <c r="H63" i="21" s="1"/>
  <c r="C35" i="21"/>
  <c r="H35" i="21"/>
  <c r="I35" i="21" s="1"/>
  <c r="F335" i="18"/>
  <c r="H335" i="18" s="1"/>
  <c r="I335" i="18" s="1"/>
  <c r="F337" i="18"/>
  <c r="H337" i="18" s="1"/>
  <c r="I337" i="18" s="1"/>
  <c r="B339" i="18"/>
  <c r="H341" i="18" s="1"/>
  <c r="F333" i="18"/>
  <c r="H333" i="18" s="1"/>
  <c r="I333" i="18" s="1"/>
  <c r="F331" i="18"/>
  <c r="H331" i="18" s="1"/>
  <c r="H36" i="21" l="1"/>
  <c r="I36" i="21" s="1"/>
  <c r="C36" i="21"/>
  <c r="E351" i="18"/>
  <c r="H340" i="18"/>
  <c r="I331" i="18"/>
  <c r="H188" i="14"/>
  <c r="F182" i="14"/>
  <c r="H182" i="14" s="1"/>
  <c r="H40" i="21" l="1"/>
  <c r="H42" i="21"/>
  <c r="H342" i="18"/>
  <c r="H324" i="18" s="1"/>
  <c r="E352" i="18"/>
  <c r="H187" i="14"/>
  <c r="H189" i="14" s="1"/>
  <c r="I182" i="14"/>
  <c r="D76" i="14"/>
  <c r="C142" i="14" l="1"/>
  <c r="H143" i="14" s="1"/>
  <c r="D123" i="14"/>
  <c r="F123" i="14" s="1"/>
  <c r="D122" i="14"/>
  <c r="F122" i="14" s="1"/>
  <c r="D121" i="14"/>
  <c r="F121" i="14" s="1"/>
  <c r="D129" i="14"/>
  <c r="F129" i="14" s="1"/>
  <c r="D128" i="14"/>
  <c r="F128" i="14" s="1"/>
  <c r="H91" i="23" l="1"/>
  <c r="H103" i="23" s="1"/>
  <c r="H104" i="23" s="1"/>
  <c r="H168" i="14"/>
  <c r="H167" i="14"/>
  <c r="H164" i="14"/>
  <c r="F159" i="14"/>
  <c r="H159" i="14" s="1"/>
  <c r="I159" i="14" s="1"/>
  <c r="F127" i="14"/>
  <c r="H127" i="14" s="1"/>
  <c r="I127" i="14" l="1"/>
  <c r="B320" i="18"/>
  <c r="E346" i="18" s="1"/>
  <c r="H322" i="18" l="1"/>
  <c r="H128" i="14"/>
  <c r="I128" i="14" s="1"/>
  <c r="F318" i="18"/>
  <c r="H318" i="18" s="1"/>
  <c r="I318" i="18" s="1"/>
  <c r="F316" i="18"/>
  <c r="H316" i="18" s="1"/>
  <c r="I316" i="18" s="1"/>
  <c r="F314" i="18"/>
  <c r="H314" i="18" s="1"/>
  <c r="F312" i="18"/>
  <c r="H312" i="18" s="1"/>
  <c r="I312" i="18" s="1"/>
  <c r="F310" i="18"/>
  <c r="H310" i="18" s="1"/>
  <c r="I310" i="18" s="1"/>
  <c r="H285" i="18"/>
  <c r="I285" i="18" s="1"/>
  <c r="H129" i="14" l="1"/>
  <c r="I129" i="14" s="1"/>
  <c r="H130" i="14" s="1"/>
  <c r="I130" i="14" s="1"/>
  <c r="I314" i="18"/>
  <c r="H321" i="18"/>
  <c r="E347" i="18" s="1"/>
  <c r="C177" i="13"/>
  <c r="I179" i="13" s="1"/>
  <c r="E171" i="13"/>
  <c r="G171" i="13" s="1"/>
  <c r="G170" i="13"/>
  <c r="I170" i="13" s="1"/>
  <c r="J170" i="13" s="1"/>
  <c r="E354" i="18" l="1"/>
  <c r="I171" i="13"/>
  <c r="J171" i="13" s="1"/>
  <c r="H323" i="18" l="1"/>
  <c r="H325" i="18" s="1"/>
  <c r="E349" i="18"/>
  <c r="E356" i="18" s="1"/>
  <c r="E174" i="13"/>
  <c r="G174" i="13" s="1"/>
  <c r="G173" i="13"/>
  <c r="I173" i="13" s="1"/>
  <c r="J173" i="13" s="1"/>
  <c r="E168" i="13"/>
  <c r="G168" i="13" s="1"/>
  <c r="G167" i="13"/>
  <c r="I167" i="13" s="1"/>
  <c r="I174" i="13" l="1"/>
  <c r="J174" i="13" s="1"/>
  <c r="J167" i="13"/>
  <c r="B293" i="18"/>
  <c r="H289" i="18"/>
  <c r="I289" i="18" s="1"/>
  <c r="B279" i="18"/>
  <c r="B240" i="18"/>
  <c r="H290" i="18"/>
  <c r="I290" i="18" s="1"/>
  <c r="H288" i="18"/>
  <c r="I288" i="18" s="1"/>
  <c r="H287" i="18"/>
  <c r="I287" i="18" s="1"/>
  <c r="H286" i="18"/>
  <c r="I286" i="18" s="1"/>
  <c r="F276" i="18"/>
  <c r="H276" i="18" s="1"/>
  <c r="I276" i="18" s="1"/>
  <c r="F274" i="18"/>
  <c r="H274" i="18" s="1"/>
  <c r="I274" i="18" s="1"/>
  <c r="I168" i="13" l="1"/>
  <c r="H296" i="18"/>
  <c r="G148" i="19"/>
  <c r="I148" i="19" s="1"/>
  <c r="J148" i="19" s="1"/>
  <c r="G136" i="19"/>
  <c r="I136" i="19" s="1"/>
  <c r="J136" i="19" s="1"/>
  <c r="C152" i="19"/>
  <c r="G150" i="19"/>
  <c r="I150" i="19" s="1"/>
  <c r="J150" i="19" s="1"/>
  <c r="G146" i="19"/>
  <c r="I146" i="19" s="1"/>
  <c r="J146" i="19" s="1"/>
  <c r="G144" i="19"/>
  <c r="I144" i="19" s="1"/>
  <c r="J144" i="19" s="1"/>
  <c r="E142" i="19"/>
  <c r="G142" i="19" s="1"/>
  <c r="G141" i="19"/>
  <c r="I141" i="19" s="1"/>
  <c r="J141" i="19" s="1"/>
  <c r="C138" i="19"/>
  <c r="G134" i="19"/>
  <c r="I134" i="19" s="1"/>
  <c r="J134" i="19" s="1"/>
  <c r="E132" i="19"/>
  <c r="G132" i="19" s="1"/>
  <c r="E129" i="19"/>
  <c r="G129" i="19" s="1"/>
  <c r="G131" i="19"/>
  <c r="I131" i="19" s="1"/>
  <c r="J131" i="19" s="1"/>
  <c r="G128" i="19"/>
  <c r="I128" i="19" s="1"/>
  <c r="D23" i="20"/>
  <c r="F23" i="20" s="1"/>
  <c r="H26" i="20"/>
  <c r="D22" i="20"/>
  <c r="F22" i="20" s="1"/>
  <c r="H20" i="20"/>
  <c r="I20" i="20" s="1"/>
  <c r="I21" i="20" s="1"/>
  <c r="F55" i="25"/>
  <c r="H55" i="25" s="1"/>
  <c r="C68" i="25"/>
  <c r="H61" i="25" s="1"/>
  <c r="H59" i="25"/>
  <c r="D52" i="25"/>
  <c r="F52" i="25" s="1"/>
  <c r="F51" i="25"/>
  <c r="H51" i="25" s="1"/>
  <c r="C45" i="25"/>
  <c r="H39" i="25" s="1"/>
  <c r="F31" i="25"/>
  <c r="H31" i="25" s="1"/>
  <c r="H37" i="25"/>
  <c r="D32" i="25"/>
  <c r="F32" i="25" s="1"/>
  <c r="C94" i="7"/>
  <c r="C83" i="7"/>
  <c r="D92" i="7"/>
  <c r="F92" i="7" s="1"/>
  <c r="D91" i="7"/>
  <c r="F91" i="7" s="1"/>
  <c r="D90" i="7"/>
  <c r="F90" i="7" s="1"/>
  <c r="D81" i="7"/>
  <c r="F81" i="7" s="1"/>
  <c r="D80" i="7"/>
  <c r="F80" i="7" s="1"/>
  <c r="D79" i="7"/>
  <c r="F79" i="7" s="1"/>
  <c r="F89" i="7"/>
  <c r="H89" i="7" s="1"/>
  <c r="D78" i="7"/>
  <c r="F78" i="7" s="1"/>
  <c r="D77" i="7"/>
  <c r="F77" i="7" s="1"/>
  <c r="D76" i="7"/>
  <c r="F76" i="7" s="1"/>
  <c r="D75" i="7"/>
  <c r="F75" i="7" s="1"/>
  <c r="D74" i="7"/>
  <c r="F74" i="7" s="1"/>
  <c r="F73" i="7"/>
  <c r="H73" i="7" s="1"/>
  <c r="F151" i="13"/>
  <c r="F150" i="13"/>
  <c r="H150" i="13" s="1"/>
  <c r="I150" i="13" s="1"/>
  <c r="J168" i="13" l="1"/>
  <c r="I177" i="13"/>
  <c r="I178" i="13" s="1"/>
  <c r="I180" i="13" s="1"/>
  <c r="H293" i="18"/>
  <c r="I154" i="19"/>
  <c r="I142" i="19"/>
  <c r="I152" i="19" s="1"/>
  <c r="I132" i="19"/>
  <c r="J132" i="19" s="1"/>
  <c r="J128" i="19"/>
  <c r="H22" i="20"/>
  <c r="I22" i="20" s="1"/>
  <c r="I51" i="25"/>
  <c r="I31" i="25"/>
  <c r="I73" i="7"/>
  <c r="I89" i="7"/>
  <c r="F130" i="13"/>
  <c r="K129" i="13"/>
  <c r="H138" i="13"/>
  <c r="F132" i="13"/>
  <c r="F131" i="13"/>
  <c r="F129" i="13"/>
  <c r="H129" i="13" s="1"/>
  <c r="H279" i="18" l="1"/>
  <c r="J142" i="19"/>
  <c r="J152" i="19" s="1"/>
  <c r="I129" i="19"/>
  <c r="I138" i="19" s="1"/>
  <c r="I153" i="19" s="1"/>
  <c r="H23" i="20"/>
  <c r="H25" i="20" s="1"/>
  <c r="H52" i="25"/>
  <c r="H54" i="25" s="1"/>
  <c r="H32" i="25"/>
  <c r="H34" i="25" s="1"/>
  <c r="H36" i="25" s="1"/>
  <c r="H38" i="25" s="1"/>
  <c r="H40" i="25" s="1"/>
  <c r="H90" i="7"/>
  <c r="H74" i="7"/>
  <c r="H151" i="13"/>
  <c r="I129" i="13"/>
  <c r="C130" i="13" s="1"/>
  <c r="H130" i="13" s="1"/>
  <c r="H295" i="18" l="1"/>
  <c r="H297" i="18" s="1"/>
  <c r="J129" i="19"/>
  <c r="I155" i="19"/>
  <c r="I23" i="20"/>
  <c r="H27" i="20"/>
  <c r="H58" i="25"/>
  <c r="H60" i="25" s="1"/>
  <c r="H62" i="25" s="1"/>
  <c r="I52" i="25"/>
  <c r="I32" i="25"/>
  <c r="I74" i="7"/>
  <c r="H75" i="7" s="1"/>
  <c r="I75" i="7" s="1"/>
  <c r="I90" i="7"/>
  <c r="I151" i="13"/>
  <c r="I130" i="13"/>
  <c r="D55" i="13"/>
  <c r="F55" i="13" s="1"/>
  <c r="H60" i="13"/>
  <c r="D54" i="13"/>
  <c r="F54" i="13" s="1"/>
  <c r="H53" i="13"/>
  <c r="J138" i="19" l="1"/>
  <c r="L155" i="19" s="1"/>
  <c r="H91" i="7"/>
  <c r="H76" i="7"/>
  <c r="C131" i="13"/>
  <c r="I53" i="13"/>
  <c r="D70" i="13"/>
  <c r="D99" i="13"/>
  <c r="D101" i="13" s="1"/>
  <c r="F81" i="13"/>
  <c r="F80" i="13"/>
  <c r="H80" i="13" s="1"/>
  <c r="C101" i="13"/>
  <c r="E98" i="13"/>
  <c r="E97" i="13"/>
  <c r="E96" i="13"/>
  <c r="F78" i="13"/>
  <c r="H78" i="13" s="1"/>
  <c r="I78" i="13" s="1"/>
  <c r="H86" i="13"/>
  <c r="F79" i="13"/>
  <c r="I91" i="7" l="1"/>
  <c r="H92" i="7" s="1"/>
  <c r="I92" i="7" s="1"/>
  <c r="I76" i="7"/>
  <c r="H131" i="13"/>
  <c r="C54" i="13"/>
  <c r="H54" i="13" s="1"/>
  <c r="E99" i="13"/>
  <c r="H79" i="13"/>
  <c r="I79" i="13" s="1"/>
  <c r="I80" i="13" s="1"/>
  <c r="L112" i="15"/>
  <c r="N112" i="15" s="1"/>
  <c r="N111" i="15"/>
  <c r="P111" i="15" s="1"/>
  <c r="H94" i="7" l="1"/>
  <c r="H77" i="7"/>
  <c r="I131" i="13"/>
  <c r="I54" i="13"/>
  <c r="C81" i="13"/>
  <c r="E101" i="13"/>
  <c r="Q111" i="15"/>
  <c r="P112" i="15" s="1"/>
  <c r="E253" i="18"/>
  <c r="B220" i="18"/>
  <c r="E248" i="18" s="1"/>
  <c r="D217" i="18"/>
  <c r="F217" i="18" s="1"/>
  <c r="F216" i="18"/>
  <c r="H216" i="18" s="1"/>
  <c r="I216" i="18" s="1"/>
  <c r="F236" i="18"/>
  <c r="H236" i="18" s="1"/>
  <c r="I236" i="18" s="1"/>
  <c r="D232" i="18"/>
  <c r="F232" i="18" s="1"/>
  <c r="D229" i="18"/>
  <c r="F229" i="18" s="1"/>
  <c r="D226" i="18"/>
  <c r="F226" i="18" s="1"/>
  <c r="D214" i="18"/>
  <c r="F214" i="18" s="1"/>
  <c r="F234" i="18"/>
  <c r="H234" i="18" s="1"/>
  <c r="I234" i="18" s="1"/>
  <c r="F231" i="18"/>
  <c r="H231" i="18" s="1"/>
  <c r="I231" i="18" s="1"/>
  <c r="F228" i="18"/>
  <c r="H228" i="18" s="1"/>
  <c r="I228" i="18" s="1"/>
  <c r="F225" i="18"/>
  <c r="H225" i="18" s="1"/>
  <c r="D213" i="18"/>
  <c r="F213" i="18" s="1"/>
  <c r="F212" i="18"/>
  <c r="H212" i="18" s="1"/>
  <c r="I212" i="18" s="1"/>
  <c r="D209" i="18"/>
  <c r="F209" i="18" s="1"/>
  <c r="D208" i="18"/>
  <c r="F208" i="18" s="1"/>
  <c r="H207" i="18"/>
  <c r="I207" i="18" s="1"/>
  <c r="H95" i="7" l="1"/>
  <c r="G106" i="7"/>
  <c r="G108" i="7" s="1"/>
  <c r="I77" i="7"/>
  <c r="H78" i="7" s="1"/>
  <c r="H243" i="18"/>
  <c r="C55" i="13"/>
  <c r="H55" i="13" s="1"/>
  <c r="H57" i="13" s="1"/>
  <c r="H59" i="13" s="1"/>
  <c r="H61" i="13" s="1"/>
  <c r="H63" i="13" s="1"/>
  <c r="C132" i="13"/>
  <c r="H81" i="13"/>
  <c r="C83" i="13"/>
  <c r="H208" i="18"/>
  <c r="I208" i="18" s="1"/>
  <c r="H217" i="18"/>
  <c r="I217" i="18" s="1"/>
  <c r="I225" i="18"/>
  <c r="H213" i="18"/>
  <c r="I213" i="18" s="1"/>
  <c r="H214" i="18" s="1"/>
  <c r="I78" i="7" l="1"/>
  <c r="H79" i="7" s="1"/>
  <c r="I79" i="7" s="1"/>
  <c r="H80" i="7" s="1"/>
  <c r="I80" i="7" s="1"/>
  <c r="C156" i="13"/>
  <c r="H159" i="13" s="1"/>
  <c r="I55" i="13"/>
  <c r="H132" i="13"/>
  <c r="C135" i="13"/>
  <c r="I81" i="13"/>
  <c r="H83" i="13"/>
  <c r="H85" i="13" s="1"/>
  <c r="H87" i="13" s="1"/>
  <c r="H89" i="13" s="1"/>
  <c r="Q112" i="15"/>
  <c r="I214" i="18"/>
  <c r="H226" i="18"/>
  <c r="I226" i="18" s="1"/>
  <c r="H209" i="18"/>
  <c r="H220" i="18" s="1"/>
  <c r="E249" i="18" s="1"/>
  <c r="H81" i="7" l="1"/>
  <c r="H156" i="13"/>
  <c r="H158" i="13" s="1"/>
  <c r="H160" i="13" s="1"/>
  <c r="H135" i="13"/>
  <c r="H137" i="13" s="1"/>
  <c r="H139" i="13" s="1"/>
  <c r="H141" i="13" s="1"/>
  <c r="I132" i="13"/>
  <c r="P113" i="15"/>
  <c r="Q113" i="15" s="1"/>
  <c r="H229" i="18"/>
  <c r="E251" i="18"/>
  <c r="I209" i="18"/>
  <c r="I81" i="7" l="1"/>
  <c r="H83" i="7"/>
  <c r="G101" i="7" s="1"/>
  <c r="G103" i="7" s="1"/>
  <c r="G110" i="7" s="1"/>
  <c r="I229" i="18"/>
  <c r="H232" i="18"/>
  <c r="I232" i="18" s="1"/>
  <c r="H84" i="7" l="1"/>
  <c r="H96" i="7" s="1"/>
  <c r="H240" i="18"/>
  <c r="E254" i="18" l="1"/>
  <c r="E256" i="18" s="1"/>
  <c r="E258" i="18" s="1"/>
  <c r="H242" i="18"/>
  <c r="H244" i="18" s="1"/>
  <c r="B180" i="18" l="1"/>
  <c r="F158" i="14" l="1"/>
  <c r="H158" i="14" s="1"/>
  <c r="F120" i="14"/>
  <c r="F119" i="14"/>
  <c r="H119" i="14" s="1"/>
  <c r="I158" i="14" l="1"/>
  <c r="I119" i="14"/>
  <c r="D99" i="14"/>
  <c r="I84" i="14"/>
  <c r="F82" i="14"/>
  <c r="H82" i="14" s="1"/>
  <c r="H120" i="14" l="1"/>
  <c r="I120" i="14" s="1"/>
  <c r="J82" i="14"/>
  <c r="H84" i="14"/>
  <c r="F118" i="19"/>
  <c r="H118" i="19" s="1"/>
  <c r="I118" i="19" s="1"/>
  <c r="F117" i="19"/>
  <c r="H117" i="19" s="1"/>
  <c r="I117" i="19" s="1"/>
  <c r="H121" i="14" l="1"/>
  <c r="I121" i="14" s="1"/>
  <c r="H122" i="14" s="1"/>
  <c r="H120" i="19"/>
  <c r="E100" i="19"/>
  <c r="F94" i="19"/>
  <c r="H94" i="19" s="1"/>
  <c r="I122" i="14" l="1"/>
  <c r="H123" i="14" s="1"/>
  <c r="H96" i="19"/>
  <c r="E101" i="19" s="1"/>
  <c r="E103" i="19" s="1"/>
  <c r="E108" i="19" s="1"/>
  <c r="I94" i="19"/>
  <c r="F79" i="19"/>
  <c r="H84" i="19"/>
  <c r="F88" i="19"/>
  <c r="H88" i="19" s="1"/>
  <c r="I123" i="14" l="1"/>
  <c r="H124" i="14" s="1"/>
  <c r="H163" i="14"/>
  <c r="H165" i="14" s="1"/>
  <c r="H170" i="14" s="1"/>
  <c r="I88" i="19"/>
  <c r="D68" i="19"/>
  <c r="F68" i="19" s="1"/>
  <c r="H71" i="19"/>
  <c r="D67" i="19"/>
  <c r="F67" i="19" s="1"/>
  <c r="D66" i="19"/>
  <c r="F66" i="19" s="1"/>
  <c r="F65" i="19"/>
  <c r="H65" i="19" s="1"/>
  <c r="H142" i="14" l="1"/>
  <c r="H144" i="14" s="1"/>
  <c r="I124" i="14"/>
  <c r="H79" i="19"/>
  <c r="I79" i="19" s="1"/>
  <c r="I82" i="19" s="1"/>
  <c r="I65" i="19"/>
  <c r="F160" i="18"/>
  <c r="H160" i="18" s="1"/>
  <c r="F162" i="18"/>
  <c r="H162" i="18" s="1"/>
  <c r="I162" i="18" s="1"/>
  <c r="F163" i="18"/>
  <c r="H163" i="18" s="1"/>
  <c r="I163" i="18" s="1"/>
  <c r="C66" i="19" l="1"/>
  <c r="H66" i="19" s="1"/>
  <c r="I66" i="19" s="1"/>
  <c r="H83" i="19" l="1"/>
  <c r="H85" i="19" s="1"/>
  <c r="C67" i="19"/>
  <c r="H67" i="19" s="1"/>
  <c r="I67" i="19" s="1"/>
  <c r="C68" i="19" s="1"/>
  <c r="H68" i="19" s="1"/>
  <c r="I68" i="19" s="1"/>
  <c r="F176" i="18"/>
  <c r="H176" i="18" s="1"/>
  <c r="P70" i="18"/>
  <c r="P68" i="18"/>
  <c r="M86" i="18"/>
  <c r="P84" i="18"/>
  <c r="N83" i="18"/>
  <c r="P83" i="18" s="1"/>
  <c r="M77" i="18"/>
  <c r="P75" i="18"/>
  <c r="R75" i="18" s="1"/>
  <c r="S75" i="18" s="1"/>
  <c r="N66" i="18"/>
  <c r="P66" i="18" s="1"/>
  <c r="R65" i="18"/>
  <c r="S65" i="18" s="1"/>
  <c r="D153" i="18"/>
  <c r="F153" i="18" s="1"/>
  <c r="D150" i="18"/>
  <c r="F150" i="18" s="1"/>
  <c r="B165" i="18"/>
  <c r="E189" i="18" s="1"/>
  <c r="D161" i="18"/>
  <c r="F161" i="18" s="1"/>
  <c r="H161" i="18" s="1"/>
  <c r="B155" i="18"/>
  <c r="E184" i="18" s="1"/>
  <c r="F152" i="18"/>
  <c r="H152" i="18" s="1"/>
  <c r="I152" i="18" s="1"/>
  <c r="D149" i="18"/>
  <c r="F149" i="18" s="1"/>
  <c r="H148" i="18"/>
  <c r="H164" i="18" l="1"/>
  <c r="I161" i="18"/>
  <c r="I148" i="18"/>
  <c r="H149" i="18" s="1"/>
  <c r="I176" i="18"/>
  <c r="H177" i="18" s="1"/>
  <c r="I177" i="18" s="1"/>
  <c r="H70" i="19"/>
  <c r="H72" i="19" s="1"/>
  <c r="H153" i="18"/>
  <c r="I153" i="18" s="1"/>
  <c r="R66" i="18"/>
  <c r="I160" i="18"/>
  <c r="H16" i="25"/>
  <c r="F11" i="25"/>
  <c r="F10" i="25"/>
  <c r="H10" i="25" s="1"/>
  <c r="I10" i="25" s="1"/>
  <c r="F7" i="25"/>
  <c r="F6" i="25"/>
  <c r="H6" i="25" s="1"/>
  <c r="H180" i="18" l="1"/>
  <c r="S66" i="18"/>
  <c r="S67" i="18" s="1"/>
  <c r="R68" i="18" s="1"/>
  <c r="S68" i="18" s="1"/>
  <c r="S69" i="18" s="1"/>
  <c r="R70" i="18" s="1"/>
  <c r="S70" i="18" s="1"/>
  <c r="R83" i="18"/>
  <c r="S83" i="18" s="1"/>
  <c r="I149" i="18"/>
  <c r="H150" i="18" s="1"/>
  <c r="I150" i="18" s="1"/>
  <c r="C11" i="25"/>
  <c r="H11" i="25"/>
  <c r="I11" i="25" s="1"/>
  <c r="I6" i="25"/>
  <c r="Q31" i="13"/>
  <c r="O26" i="13"/>
  <c r="Q26" i="13" s="1"/>
  <c r="R26" i="13" s="1"/>
  <c r="H155" i="18" l="1"/>
  <c r="E185" i="18" s="1"/>
  <c r="E187" i="18" s="1"/>
  <c r="R77" i="18"/>
  <c r="R84" i="18"/>
  <c r="S84" i="18" s="1"/>
  <c r="H7" i="25"/>
  <c r="C7" i="25"/>
  <c r="Q28" i="13"/>
  <c r="Q30" i="13" s="1"/>
  <c r="Q32" i="13" s="1"/>
  <c r="D40" i="13"/>
  <c r="F40" i="13" s="1"/>
  <c r="H39" i="13"/>
  <c r="H45" i="13"/>
  <c r="H31" i="13"/>
  <c r="F26" i="13"/>
  <c r="H26" i="13" s="1"/>
  <c r="R85" i="18" l="1"/>
  <c r="R87" i="18" s="1"/>
  <c r="R89" i="18" s="1"/>
  <c r="H166" i="18"/>
  <c r="I7" i="25"/>
  <c r="I26" i="13"/>
  <c r="I39" i="13"/>
  <c r="H168" i="18" l="1"/>
  <c r="E190" i="18"/>
  <c r="E192" i="18" s="1"/>
  <c r="E194" i="18" s="1"/>
  <c r="E198" i="18" s="1"/>
  <c r="C40" i="13"/>
  <c r="H40" i="13" s="1"/>
  <c r="H42" i="13" s="1"/>
  <c r="H44" i="13" s="1"/>
  <c r="H46" i="13" s="1"/>
  <c r="H48" i="13" s="1"/>
  <c r="I40" i="13" l="1"/>
  <c r="H28" i="13" l="1"/>
  <c r="H30" i="13" s="1"/>
  <c r="H32" i="13" s="1"/>
  <c r="H13" i="25" l="1"/>
  <c r="H15" i="25" s="1"/>
  <c r="H17" i="25" s="1"/>
  <c r="H18" i="25" s="1"/>
  <c r="B135" i="18"/>
  <c r="B130" i="18"/>
  <c r="B119" i="18"/>
  <c r="B137" i="18" l="1"/>
  <c r="B110" i="18"/>
  <c r="B121" i="18" s="1"/>
  <c r="B37" i="24" l="1"/>
  <c r="B13" i="24" l="1"/>
  <c r="L16" i="24" l="1"/>
  <c r="L15" i="24"/>
  <c r="L17" i="24" l="1"/>
  <c r="Q64" i="23"/>
  <c r="R64" i="23" s="1"/>
  <c r="H61" i="24" l="1"/>
  <c r="H56" i="24"/>
  <c r="G53" i="24"/>
  <c r="E50" i="24"/>
  <c r="E49" i="24"/>
  <c r="G49" i="24" s="1"/>
  <c r="H49" i="24" s="1"/>
  <c r="B50" i="24" s="1"/>
  <c r="E47" i="24"/>
  <c r="G44" i="24"/>
  <c r="G28" i="24"/>
  <c r="E42" i="24"/>
  <c r="E34" i="24"/>
  <c r="G24" i="24"/>
  <c r="E25" i="24"/>
  <c r="G20" i="24"/>
  <c r="H66" i="24" l="1"/>
  <c r="H44" i="24"/>
  <c r="B45" i="24" s="1"/>
  <c r="G45" i="24" s="1"/>
  <c r="H45" i="24" s="1"/>
  <c r="B46" i="24" s="1"/>
  <c r="G46" i="24" s="1"/>
  <c r="H46" i="24" s="1"/>
  <c r="B47" i="24" s="1"/>
  <c r="G50" i="24"/>
  <c r="H50" i="24" s="1"/>
  <c r="E22" i="24"/>
  <c r="E18" i="24"/>
  <c r="G47" i="24" l="1"/>
  <c r="H47" i="24" s="1"/>
  <c r="E11" i="24"/>
  <c r="G11" i="24" s="1"/>
  <c r="H11" i="24" s="1"/>
  <c r="E10" i="24"/>
  <c r="G10" i="24" s="1"/>
  <c r="E9" i="24"/>
  <c r="G9" i="24" s="1"/>
  <c r="E8" i="24"/>
  <c r="G8" i="24" s="1"/>
  <c r="E7" i="24"/>
  <c r="G7" i="24" s="1"/>
  <c r="E6" i="24"/>
  <c r="G6" i="24" s="1"/>
  <c r="E5" i="24"/>
  <c r="E35" i="24"/>
  <c r="G35" i="24" s="1"/>
  <c r="G34" i="24"/>
  <c r="G37" i="24" s="1"/>
  <c r="Q60" i="23"/>
  <c r="R60" i="23" s="1"/>
  <c r="L61" i="23" s="1"/>
  <c r="Q68" i="23"/>
  <c r="F74" i="23"/>
  <c r="O9" i="19"/>
  <c r="Q12" i="19"/>
  <c r="O8" i="19"/>
  <c r="O7" i="19"/>
  <c r="Q6" i="19"/>
  <c r="R6" i="19" s="1"/>
  <c r="H78" i="23"/>
  <c r="H70" i="23"/>
  <c r="H63" i="23"/>
  <c r="F60" i="23"/>
  <c r="H60" i="23" s="1"/>
  <c r="I60" i="23" s="1"/>
  <c r="Q61" i="23" l="1"/>
  <c r="R61" i="23" s="1"/>
  <c r="L62" i="23" s="1"/>
  <c r="M16" i="24"/>
  <c r="G5" i="24"/>
  <c r="H5" i="24" s="1"/>
  <c r="H6" i="24"/>
  <c r="H34" i="24"/>
  <c r="L7" i="19"/>
  <c r="Q7" i="19" s="1"/>
  <c r="I70" i="23"/>
  <c r="C71" i="23" s="1"/>
  <c r="H71" i="23" s="1"/>
  <c r="I71" i="23" s="1"/>
  <c r="C72" i="23" s="1"/>
  <c r="H72" i="23" s="1"/>
  <c r="I72" i="23" s="1"/>
  <c r="C73" i="23" s="1"/>
  <c r="H73" i="23" s="1"/>
  <c r="I73" i="23" s="1"/>
  <c r="C74" i="23" s="1"/>
  <c r="H74" i="23" s="1"/>
  <c r="I74" i="23" s="1"/>
  <c r="H62" i="23"/>
  <c r="H64" i="23" s="1"/>
  <c r="H35" i="24" l="1"/>
  <c r="B39" i="24" s="1"/>
  <c r="G39" i="24" s="1"/>
  <c r="H39" i="24" s="1"/>
  <c r="Q62" i="23"/>
  <c r="R62" i="23" s="1"/>
  <c r="L63" i="23" s="1"/>
  <c r="Q63" i="23" s="1"/>
  <c r="R63" i="23" s="1"/>
  <c r="G13" i="24"/>
  <c r="M15" i="24"/>
  <c r="M17" i="24" s="1"/>
  <c r="N17" i="24" s="1"/>
  <c r="H7" i="24"/>
  <c r="H8" i="24" s="1"/>
  <c r="H9" i="24" s="1"/>
  <c r="H10" i="24" s="1"/>
  <c r="H20" i="24"/>
  <c r="H77" i="23"/>
  <c r="H79" i="23" s="1"/>
  <c r="R7" i="19"/>
  <c r="H37" i="24" l="1"/>
  <c r="B15" i="24"/>
  <c r="G15" i="24" s="1"/>
  <c r="H15" i="24" s="1"/>
  <c r="H13" i="24"/>
  <c r="B40" i="24"/>
  <c r="H24" i="24"/>
  <c r="B25" i="24" s="1"/>
  <c r="G25" i="24" s="1"/>
  <c r="B21" i="24"/>
  <c r="G21" i="24" s="1"/>
  <c r="L8" i="19"/>
  <c r="Q8" i="19" s="1"/>
  <c r="G40" i="24" l="1"/>
  <c r="H40" i="24" s="1"/>
  <c r="B41" i="24" s="1"/>
  <c r="H21" i="24"/>
  <c r="B22" i="24" s="1"/>
  <c r="H25" i="24"/>
  <c r="B16" i="24"/>
  <c r="G16" i="24" s="1"/>
  <c r="R8" i="19"/>
  <c r="L9" i="19" s="1"/>
  <c r="Q9" i="19" s="1"/>
  <c r="R9" i="19" s="1"/>
  <c r="G41" i="24" l="1"/>
  <c r="H41" i="24" s="1"/>
  <c r="B42" i="24" s="1"/>
  <c r="G22" i="24"/>
  <c r="H22" i="24" s="1"/>
  <c r="H16" i="24"/>
  <c r="Q11" i="19"/>
  <c r="Q13" i="19" s="1"/>
  <c r="G42" i="24" l="1"/>
  <c r="B17" i="24"/>
  <c r="G17" i="24" s="1"/>
  <c r="Q67" i="23"/>
  <c r="Q69" i="23" s="1"/>
  <c r="H42" i="24" l="1"/>
  <c r="H17" i="24"/>
  <c r="B18" i="24" l="1"/>
  <c r="E10" i="17"/>
  <c r="E9" i="17"/>
  <c r="F48" i="23"/>
  <c r="H53" i="23"/>
  <c r="F47" i="23"/>
  <c r="H42" i="23"/>
  <c r="M40" i="23"/>
  <c r="O40" i="23" s="1"/>
  <c r="Q43" i="23"/>
  <c r="O39" i="23"/>
  <c r="Q39" i="23" s="1"/>
  <c r="Q32" i="23"/>
  <c r="O29" i="23"/>
  <c r="O28" i="23"/>
  <c r="Q28" i="23" s="1"/>
  <c r="O50" i="23"/>
  <c r="Q50" i="23" s="1"/>
  <c r="R50" i="23" s="1"/>
  <c r="Q53" i="23"/>
  <c r="Q20" i="23"/>
  <c r="M17" i="23"/>
  <c r="O17" i="23" s="1"/>
  <c r="O16" i="23"/>
  <c r="Q16" i="23" s="1"/>
  <c r="F19" i="21"/>
  <c r="H19" i="21" s="1"/>
  <c r="I19" i="21" s="1"/>
  <c r="H24" i="21"/>
  <c r="M6" i="23"/>
  <c r="O6" i="23" s="1"/>
  <c r="Q9" i="23"/>
  <c r="O5" i="23"/>
  <c r="Q5" i="23" s="1"/>
  <c r="F32" i="23"/>
  <c r="F31" i="23"/>
  <c r="H35" i="23"/>
  <c r="F27" i="23"/>
  <c r="H27" i="23" s="1"/>
  <c r="D45" i="7"/>
  <c r="F45" i="7" s="1"/>
  <c r="H45" i="7" s="1"/>
  <c r="C47" i="7"/>
  <c r="D37" i="7"/>
  <c r="F37" i="7" s="1"/>
  <c r="D36" i="7"/>
  <c r="F36" i="7" s="1"/>
  <c r="D35" i="7"/>
  <c r="F35" i="7" s="1"/>
  <c r="D34" i="7"/>
  <c r="F34" i="7" s="1"/>
  <c r="D33" i="7"/>
  <c r="F33" i="7" s="1"/>
  <c r="F32" i="7"/>
  <c r="H32" i="7" s="1"/>
  <c r="A88" i="18"/>
  <c r="E88" i="18" s="1"/>
  <c r="A90" i="18"/>
  <c r="E90" i="18" s="1"/>
  <c r="A89" i="18"/>
  <c r="E89" i="18" s="1"/>
  <c r="D91" i="18"/>
  <c r="A91" i="18"/>
  <c r="B87" i="18"/>
  <c r="B88" i="18" s="1"/>
  <c r="B89" i="18" s="1"/>
  <c r="E87" i="18"/>
  <c r="E86" i="18"/>
  <c r="F86" i="18" s="1"/>
  <c r="B70" i="18"/>
  <c r="B79" i="18"/>
  <c r="F77" i="18"/>
  <c r="E91" i="18" l="1"/>
  <c r="G18" i="24"/>
  <c r="F89" i="18"/>
  <c r="B90" i="18"/>
  <c r="B91" i="18" s="1"/>
  <c r="F88" i="18"/>
  <c r="F87" i="18"/>
  <c r="I42" i="23"/>
  <c r="C43" i="23" s="1"/>
  <c r="Q52" i="23"/>
  <c r="R39" i="23"/>
  <c r="L40" i="23" s="1"/>
  <c r="Q40" i="23" s="1"/>
  <c r="R40" i="23" s="1"/>
  <c r="R28" i="23"/>
  <c r="Q54" i="23"/>
  <c r="R16" i="23"/>
  <c r="L17" i="23" s="1"/>
  <c r="R5" i="23"/>
  <c r="L6" i="23" s="1"/>
  <c r="I27" i="23"/>
  <c r="C28" i="23" s="1"/>
  <c r="H28" i="23" s="1"/>
  <c r="I28" i="23" s="1"/>
  <c r="C29" i="23" s="1"/>
  <c r="H29" i="23" s="1"/>
  <c r="I29" i="23" s="1"/>
  <c r="C30" i="23" s="1"/>
  <c r="H30" i="23" s="1"/>
  <c r="I30" i="23" s="1"/>
  <c r="C31" i="23" s="1"/>
  <c r="F61" i="14"/>
  <c r="H61" i="14" s="1"/>
  <c r="I45" i="7"/>
  <c r="I32" i="7"/>
  <c r="F91" i="18" l="1"/>
  <c r="F90" i="18"/>
  <c r="G27" i="24"/>
  <c r="G29" i="24" s="1"/>
  <c r="H18" i="24"/>
  <c r="H43" i="23"/>
  <c r="I43" i="23" s="1"/>
  <c r="C44" i="23" s="1"/>
  <c r="Q42" i="23"/>
  <c r="Q44" i="23" s="1"/>
  <c r="Q29" i="23"/>
  <c r="Q31" i="23" s="1"/>
  <c r="Q33" i="23" s="1"/>
  <c r="Q17" i="23"/>
  <c r="Q19" i="23" s="1"/>
  <c r="Q21" i="23" s="1"/>
  <c r="H21" i="21"/>
  <c r="H23" i="21" s="1"/>
  <c r="H25" i="21" s="1"/>
  <c r="Q6" i="23"/>
  <c r="H31" i="23"/>
  <c r="I31" i="23" s="1"/>
  <c r="C32" i="23" s="1"/>
  <c r="J61" i="14"/>
  <c r="H65" i="14"/>
  <c r="H33" i="7"/>
  <c r="H19" i="23"/>
  <c r="F16" i="23"/>
  <c r="H16" i="23" s="1"/>
  <c r="R15" i="13"/>
  <c r="N9" i="13"/>
  <c r="P9" i="13" s="1"/>
  <c r="N8" i="13"/>
  <c r="N7" i="13"/>
  <c r="P7" i="13" s="1"/>
  <c r="N6" i="13"/>
  <c r="P6" i="13" s="1"/>
  <c r="P5" i="13"/>
  <c r="R5" i="13" s="1"/>
  <c r="F5" i="23"/>
  <c r="H5" i="23" s="1"/>
  <c r="H9" i="23"/>
  <c r="D76" i="18"/>
  <c r="F76" i="18" s="1"/>
  <c r="F75" i="18"/>
  <c r="H75" i="18" s="1"/>
  <c r="F92" i="18" l="1"/>
  <c r="F94" i="18" s="1"/>
  <c r="H57" i="24"/>
  <c r="H44" i="23"/>
  <c r="I44" i="23" s="1"/>
  <c r="C45" i="23" s="1"/>
  <c r="I5" i="23"/>
  <c r="H8" i="23"/>
  <c r="R29" i="23"/>
  <c r="R17" i="23"/>
  <c r="H18" i="23"/>
  <c r="H20" i="23" s="1"/>
  <c r="R6" i="23"/>
  <c r="H32" i="23"/>
  <c r="I32" i="23" s="1"/>
  <c r="I65" i="14"/>
  <c r="I33" i="7"/>
  <c r="I75" i="18"/>
  <c r="H76" i="18" s="1"/>
  <c r="I16" i="23"/>
  <c r="S5" i="13"/>
  <c r="H59" i="24" l="1"/>
  <c r="H45" i="23"/>
  <c r="H34" i="23"/>
  <c r="H36" i="23" s="1"/>
  <c r="H46" i="7"/>
  <c r="H34" i="7"/>
  <c r="I76" i="18"/>
  <c r="R6" i="13"/>
  <c r="M6" i="13"/>
  <c r="H10" i="23"/>
  <c r="I45" i="23" l="1"/>
  <c r="C46" i="23" s="1"/>
  <c r="I34" i="7"/>
  <c r="H77" i="18"/>
  <c r="H78" i="18" s="1"/>
  <c r="S6" i="13"/>
  <c r="F68" i="18"/>
  <c r="H68" i="18" s="1"/>
  <c r="I68" i="18" s="1"/>
  <c r="D66" i="18"/>
  <c r="F66" i="18" s="1"/>
  <c r="H65" i="18"/>
  <c r="I65" i="18" s="1"/>
  <c r="H46" i="23" l="1"/>
  <c r="I46" i="23" s="1"/>
  <c r="C47" i="23" s="1"/>
  <c r="H35" i="7"/>
  <c r="I35" i="7" s="1"/>
  <c r="I77" i="18"/>
  <c r="M7" i="13"/>
  <c r="R7" i="13"/>
  <c r="S7" i="13" s="1"/>
  <c r="H66" i="18"/>
  <c r="H70" i="18" s="1"/>
  <c r="H80" i="18" s="1"/>
  <c r="I92" i="18" s="1"/>
  <c r="H5" i="22"/>
  <c r="I5" i="22" s="1"/>
  <c r="C6" i="22" s="1"/>
  <c r="F38" i="22"/>
  <c r="H38" i="22" s="1"/>
  <c r="I38" i="22" s="1"/>
  <c r="F37" i="22"/>
  <c r="H37" i="22" s="1"/>
  <c r="I37" i="22" s="1"/>
  <c r="F35" i="22"/>
  <c r="F34" i="22"/>
  <c r="H34" i="22" s="1"/>
  <c r="I34" i="22" s="1"/>
  <c r="C35" i="22" s="1"/>
  <c r="I40" i="22"/>
  <c r="F32" i="22"/>
  <c r="F31" i="22"/>
  <c r="H31" i="22" s="1"/>
  <c r="I31" i="22" s="1"/>
  <c r="C32" i="22" s="1"/>
  <c r="F29" i="22"/>
  <c r="D28" i="22"/>
  <c r="F28" i="22" s="1"/>
  <c r="H28" i="22" s="1"/>
  <c r="I28" i="22" s="1"/>
  <c r="C29" i="22" s="1"/>
  <c r="F25" i="22"/>
  <c r="F24" i="22"/>
  <c r="H24" i="22" s="1"/>
  <c r="I24" i="22" s="1"/>
  <c r="C25" i="22" s="1"/>
  <c r="F21" i="22"/>
  <c r="D20" i="22"/>
  <c r="F20" i="22" s="1"/>
  <c r="H20" i="22" s="1"/>
  <c r="H12" i="22"/>
  <c r="F7" i="22"/>
  <c r="F6" i="22"/>
  <c r="B408" i="15"/>
  <c r="D388" i="15"/>
  <c r="D406" i="15"/>
  <c r="D416" i="15"/>
  <c r="D418" i="15" s="1"/>
  <c r="E396" i="15"/>
  <c r="H396" i="15" s="1"/>
  <c r="F7" i="21"/>
  <c r="H12" i="21"/>
  <c r="F6" i="21"/>
  <c r="H5" i="21"/>
  <c r="I5" i="21" s="1"/>
  <c r="C6" i="21" s="1"/>
  <c r="D8" i="13"/>
  <c r="F8" i="13" s="1"/>
  <c r="H11" i="20"/>
  <c r="D6" i="20"/>
  <c r="F6" i="20" s="1"/>
  <c r="H5" i="20"/>
  <c r="I5" i="20" s="1"/>
  <c r="D48" i="18"/>
  <c r="F48" i="18" s="1"/>
  <c r="H57" i="18"/>
  <c r="F52" i="18"/>
  <c r="H52" i="18" s="1"/>
  <c r="I52" i="18" s="1"/>
  <c r="H47" i="18"/>
  <c r="I47" i="18" s="1"/>
  <c r="H35" i="22" l="1"/>
  <c r="I35" i="22" s="1"/>
  <c r="H47" i="23"/>
  <c r="Q8" i="23"/>
  <c r="Q10" i="23" s="1"/>
  <c r="H36" i="7"/>
  <c r="M8" i="13"/>
  <c r="R8" i="13"/>
  <c r="S8" i="13" s="1"/>
  <c r="H82" i="18"/>
  <c r="I66" i="18"/>
  <c r="H32" i="22"/>
  <c r="I32" i="22" s="1"/>
  <c r="H25" i="22"/>
  <c r="I25" i="22" s="1"/>
  <c r="H29" i="22"/>
  <c r="I29" i="22" s="1"/>
  <c r="I20" i="22"/>
  <c r="C21" i="22" s="1"/>
  <c r="H6" i="22"/>
  <c r="I6" i="22" s="1"/>
  <c r="F416" i="15"/>
  <c r="H6" i="21"/>
  <c r="H6" i="20"/>
  <c r="H8" i="20" s="1"/>
  <c r="H10" i="20" s="1"/>
  <c r="H12" i="20" s="1"/>
  <c r="H48" i="18"/>
  <c r="H50" i="18" s="1"/>
  <c r="H54" i="18"/>
  <c r="J43" i="14"/>
  <c r="B391" i="15"/>
  <c r="B392" i="15"/>
  <c r="B278" i="15"/>
  <c r="E276" i="15"/>
  <c r="G274" i="15"/>
  <c r="C275" i="15"/>
  <c r="B403" i="15"/>
  <c r="B404" i="15" s="1"/>
  <c r="B385" i="15"/>
  <c r="B386" i="15" s="1"/>
  <c r="B387" i="15" s="1"/>
  <c r="C324" i="15"/>
  <c r="C325" i="15" s="1"/>
  <c r="C326" i="15" s="1"/>
  <c r="G327" i="15"/>
  <c r="F325" i="15"/>
  <c r="B324" i="15"/>
  <c r="B325" i="15" s="1"/>
  <c r="B326" i="15" s="1"/>
  <c r="C341" i="15"/>
  <c r="B341" i="15"/>
  <c r="F341" i="15"/>
  <c r="C336" i="15"/>
  <c r="C337" i="15" s="1"/>
  <c r="C338" i="15" s="1"/>
  <c r="F336" i="15"/>
  <c r="B336" i="15"/>
  <c r="B337" i="15" s="1"/>
  <c r="D311" i="15"/>
  <c r="E296" i="15"/>
  <c r="G296" i="15" s="1"/>
  <c r="B298" i="15"/>
  <c r="H305" i="15" s="1"/>
  <c r="C294" i="15"/>
  <c r="C291" i="15"/>
  <c r="D288" i="15"/>
  <c r="D291" i="15" s="1"/>
  <c r="D294" i="15" s="1"/>
  <c r="C288" i="15"/>
  <c r="E284" i="15"/>
  <c r="C271" i="15"/>
  <c r="E271" i="15" s="1"/>
  <c r="B374" i="15"/>
  <c r="B375" i="15" s="1"/>
  <c r="B376" i="15" s="1"/>
  <c r="B367" i="15"/>
  <c r="B368" i="15" s="1"/>
  <c r="B359" i="15"/>
  <c r="B360" i="15" s="1"/>
  <c r="F350" i="15"/>
  <c r="C349" i="15"/>
  <c r="C350" i="15" s="1"/>
  <c r="C351" i="15" s="1"/>
  <c r="F322" i="15"/>
  <c r="C318" i="15"/>
  <c r="C319" i="15" s="1"/>
  <c r="C320" i="15" s="1"/>
  <c r="C321" i="15" s="1"/>
  <c r="B318" i="15"/>
  <c r="B319" i="15" s="1"/>
  <c r="B320" i="15" s="1"/>
  <c r="B321" i="15" s="1"/>
  <c r="G316" i="15"/>
  <c r="C311" i="15"/>
  <c r="G293" i="15"/>
  <c r="B294" i="15" s="1"/>
  <c r="G290" i="15"/>
  <c r="B291" i="15" s="1"/>
  <c r="C287" i="15"/>
  <c r="E286" i="15"/>
  <c r="G286" i="15" s="1"/>
  <c r="B287" i="15" s="1"/>
  <c r="C283" i="15"/>
  <c r="E282" i="15"/>
  <c r="G282" i="15" s="1"/>
  <c r="C270" i="15"/>
  <c r="E270" i="15" s="1"/>
  <c r="C269" i="15"/>
  <c r="E269" i="15" s="1"/>
  <c r="C268" i="15"/>
  <c r="E268" i="15" s="1"/>
  <c r="E267" i="15"/>
  <c r="G267" i="15" s="1"/>
  <c r="H267" i="15" s="1"/>
  <c r="B268" i="15" s="1"/>
  <c r="C263" i="15"/>
  <c r="E263" i="15" s="1"/>
  <c r="C262" i="15"/>
  <c r="E262" i="15" s="1"/>
  <c r="C261" i="15"/>
  <c r="E261" i="15" s="1"/>
  <c r="C260" i="15"/>
  <c r="E260" i="15" s="1"/>
  <c r="E259" i="15"/>
  <c r="D50" i="14"/>
  <c r="B44" i="14"/>
  <c r="E34" i="14"/>
  <c r="D35" i="14" s="1"/>
  <c r="F35" i="14" s="1"/>
  <c r="M104" i="8"/>
  <c r="C105" i="8"/>
  <c r="E105" i="8" s="1"/>
  <c r="E104" i="8"/>
  <c r="B104" i="8"/>
  <c r="B108" i="8" s="1"/>
  <c r="F98" i="8"/>
  <c r="E87" i="8"/>
  <c r="E86" i="8"/>
  <c r="E85" i="8"/>
  <c r="B78" i="8"/>
  <c r="C76" i="8"/>
  <c r="E76" i="8" s="1"/>
  <c r="E75" i="8"/>
  <c r="G75" i="8" s="1"/>
  <c r="H75" i="8" s="1"/>
  <c r="B76" i="8" s="1"/>
  <c r="C74" i="8"/>
  <c r="E74" i="8" s="1"/>
  <c r="E73" i="8"/>
  <c r="G73" i="8" s="1"/>
  <c r="H73" i="8" s="1"/>
  <c r="B74" i="8" s="1"/>
  <c r="C72" i="8"/>
  <c r="E72" i="8" s="1"/>
  <c r="C71" i="8"/>
  <c r="E71" i="8" s="1"/>
  <c r="C70" i="8"/>
  <c r="E70" i="8" s="1"/>
  <c r="E69" i="8"/>
  <c r="G69" i="8" s="1"/>
  <c r="B65" i="8"/>
  <c r="C63" i="8"/>
  <c r="E63" i="8" s="1"/>
  <c r="C62" i="8"/>
  <c r="E62" i="8" s="1"/>
  <c r="C61" i="8"/>
  <c r="E61" i="8" s="1"/>
  <c r="G60" i="8"/>
  <c r="H60" i="8" s="1"/>
  <c r="B61" i="8" s="1"/>
  <c r="E60" i="8"/>
  <c r="G54" i="11"/>
  <c r="E49" i="11"/>
  <c r="G49" i="11" s="1"/>
  <c r="H49" i="11" s="1"/>
  <c r="E44" i="11"/>
  <c r="G44" i="11" s="1"/>
  <c r="G36" i="11"/>
  <c r="E31" i="11"/>
  <c r="G31" i="11" s="1"/>
  <c r="E27" i="11"/>
  <c r="E26" i="11"/>
  <c r="G26" i="11" s="1"/>
  <c r="B49" i="8"/>
  <c r="B53" i="8"/>
  <c r="C50" i="8"/>
  <c r="E50" i="8" s="1"/>
  <c r="E49" i="8"/>
  <c r="C22" i="8"/>
  <c r="E22" i="8" s="1"/>
  <c r="C20" i="8"/>
  <c r="E20" i="8" s="1"/>
  <c r="C18" i="8"/>
  <c r="E18" i="8" s="1"/>
  <c r="C9" i="8"/>
  <c r="E9" i="8" s="1"/>
  <c r="H52" i="19"/>
  <c r="D48" i="19"/>
  <c r="F48" i="19" s="1"/>
  <c r="H48" i="19" s="1"/>
  <c r="D47" i="19"/>
  <c r="F47" i="19" s="1"/>
  <c r="H47" i="19" s="1"/>
  <c r="F46" i="19"/>
  <c r="H46" i="19" s="1"/>
  <c r="H40" i="19"/>
  <c r="D36" i="19"/>
  <c r="F36" i="19" s="1"/>
  <c r="D35" i="19"/>
  <c r="F35" i="19" s="1"/>
  <c r="F34" i="19"/>
  <c r="H34" i="19" s="1"/>
  <c r="I34" i="19" s="1"/>
  <c r="E294" i="15" l="1"/>
  <c r="B405" i="15"/>
  <c r="B410" i="15" s="1"/>
  <c r="G104" i="8"/>
  <c r="B388" i="15"/>
  <c r="I47" i="23"/>
  <c r="C48" i="23" s="1"/>
  <c r="H48" i="23" s="1"/>
  <c r="I48" i="23" s="1"/>
  <c r="I36" i="7"/>
  <c r="R9" i="13"/>
  <c r="R12" i="13" s="1"/>
  <c r="R14" i="13" s="1"/>
  <c r="R16" i="13" s="1"/>
  <c r="M9" i="13"/>
  <c r="H56" i="18"/>
  <c r="H58" i="18" s="1"/>
  <c r="H21" i="22"/>
  <c r="I21" i="22" s="1"/>
  <c r="C7" i="22"/>
  <c r="H7" i="22"/>
  <c r="H9" i="22" s="1"/>
  <c r="H11" i="22" s="1"/>
  <c r="I6" i="21"/>
  <c r="I6" i="20"/>
  <c r="I48" i="18"/>
  <c r="H274" i="15"/>
  <c r="B275" i="15" s="1"/>
  <c r="G275" i="15" s="1"/>
  <c r="H275" i="15" s="1"/>
  <c r="B276" i="15" s="1"/>
  <c r="G276" i="15" s="1"/>
  <c r="H276" i="15" s="1"/>
  <c r="E288" i="15"/>
  <c r="C327" i="15"/>
  <c r="C328" i="15" s="1"/>
  <c r="B393" i="15"/>
  <c r="B394" i="15" s="1"/>
  <c r="G294" i="15"/>
  <c r="B338" i="15"/>
  <c r="B343" i="15" s="1"/>
  <c r="E291" i="15"/>
  <c r="G291" i="15" s="1"/>
  <c r="C352" i="15"/>
  <c r="G268" i="15"/>
  <c r="H268" i="15" s="1"/>
  <c r="B269" i="15" s="1"/>
  <c r="G269" i="15" s="1"/>
  <c r="H269" i="15" s="1"/>
  <c r="B270" i="15" s="1"/>
  <c r="G270" i="15" s="1"/>
  <c r="H270" i="15" s="1"/>
  <c r="B271" i="15" s="1"/>
  <c r="G271" i="15" s="1"/>
  <c r="H271" i="15" s="1"/>
  <c r="C343" i="15"/>
  <c r="E272" i="15"/>
  <c r="B327" i="15"/>
  <c r="B361" i="15"/>
  <c r="B362" i="15" s="1"/>
  <c r="B370" i="15" s="1"/>
  <c r="G287" i="15"/>
  <c r="B288" i="15" s="1"/>
  <c r="G288" i="15" s="1"/>
  <c r="E265" i="15"/>
  <c r="G259" i="15"/>
  <c r="B283" i="15"/>
  <c r="G283" i="15" s="1"/>
  <c r="B284" i="15" s="1"/>
  <c r="G284" i="15" s="1"/>
  <c r="B377" i="15"/>
  <c r="D36" i="14"/>
  <c r="E36" i="14" s="1"/>
  <c r="D37" i="14" s="1"/>
  <c r="F37" i="14" s="1"/>
  <c r="F34" i="14"/>
  <c r="H34" i="14" s="1"/>
  <c r="G61" i="8"/>
  <c r="G74" i="8"/>
  <c r="H74" i="8" s="1"/>
  <c r="H69" i="8"/>
  <c r="B70" i="8" s="1"/>
  <c r="G76" i="8"/>
  <c r="H76" i="8" s="1"/>
  <c r="H104" i="8"/>
  <c r="B105" i="8" s="1"/>
  <c r="H44" i="11"/>
  <c r="G51" i="11"/>
  <c r="G33" i="11"/>
  <c r="H31" i="11"/>
  <c r="H26" i="11"/>
  <c r="G49" i="8"/>
  <c r="C35" i="19"/>
  <c r="H35" i="19" s="1"/>
  <c r="I35" i="19" s="1"/>
  <c r="H51" i="19"/>
  <c r="H53" i="19" s="1"/>
  <c r="I391" i="15" l="1"/>
  <c r="B395" i="15"/>
  <c r="B396" i="15" s="1"/>
  <c r="H52" i="23"/>
  <c r="H54" i="23" s="1"/>
  <c r="G299" i="15"/>
  <c r="H299" i="15" s="1"/>
  <c r="H37" i="7"/>
  <c r="S9" i="13"/>
  <c r="H13" i="22"/>
  <c r="H40" i="22"/>
  <c r="H42" i="22" s="1"/>
  <c r="I7" i="22"/>
  <c r="C7" i="21"/>
  <c r="H7" i="21"/>
  <c r="B328" i="15"/>
  <c r="B329" i="15" s="1"/>
  <c r="B331" i="15" s="1"/>
  <c r="B345" i="15" s="1"/>
  <c r="C329" i="15"/>
  <c r="C331" i="15" s="1"/>
  <c r="C345" i="15" s="1"/>
  <c r="H259" i="15"/>
  <c r="B260" i="15" s="1"/>
  <c r="B379" i="15"/>
  <c r="J34" i="14"/>
  <c r="C35" i="14"/>
  <c r="H35" i="14" s="1"/>
  <c r="I35" i="14" s="1"/>
  <c r="D38" i="14"/>
  <c r="F38" i="14" s="1"/>
  <c r="F36" i="14"/>
  <c r="H36" i="14" s="1"/>
  <c r="C37" i="14" s="1"/>
  <c r="H37" i="14" s="1"/>
  <c r="G70" i="8"/>
  <c r="H61" i="8"/>
  <c r="B62" i="8" s="1"/>
  <c r="G105" i="8"/>
  <c r="G108" i="8" s="1"/>
  <c r="G47" i="11"/>
  <c r="G27" i="11"/>
  <c r="G29" i="11" s="1"/>
  <c r="G35" i="11" s="1"/>
  <c r="G37" i="11" s="1"/>
  <c r="H49" i="8"/>
  <c r="B50" i="8" s="1"/>
  <c r="G50" i="8" s="1"/>
  <c r="G53" i="8" s="1"/>
  <c r="H53" i="8" s="1"/>
  <c r="C36" i="19"/>
  <c r="H36" i="19" s="1"/>
  <c r="H39" i="19" s="1"/>
  <c r="H41" i="19" s="1"/>
  <c r="I40" i="14" l="1"/>
  <c r="J48" i="14" s="1"/>
  <c r="J49" i="14" s="1"/>
  <c r="E47" i="14"/>
  <c r="E50" i="14" s="1"/>
  <c r="H70" i="8"/>
  <c r="B71" i="8" s="1"/>
  <c r="G71" i="8" s="1"/>
  <c r="I36" i="19"/>
  <c r="H108" i="8"/>
  <c r="C397" i="15"/>
  <c r="B398" i="15"/>
  <c r="B412" i="15" s="1"/>
  <c r="B416" i="15" s="1"/>
  <c r="I37" i="7"/>
  <c r="H38" i="7"/>
  <c r="I7" i="21"/>
  <c r="H9" i="21"/>
  <c r="H11" i="21" s="1"/>
  <c r="H13" i="21" s="1"/>
  <c r="G53" i="11"/>
  <c r="G55" i="11" s="1"/>
  <c r="H304" i="15"/>
  <c r="G260" i="15"/>
  <c r="J35" i="14"/>
  <c r="H105" i="8"/>
  <c r="G62" i="8"/>
  <c r="H45" i="11"/>
  <c r="H27" i="11"/>
  <c r="H50" i="8"/>
  <c r="D20" i="19"/>
  <c r="D19" i="19"/>
  <c r="D8" i="19"/>
  <c r="D7" i="19"/>
  <c r="H71" i="8" l="1"/>
  <c r="B72" i="8" s="1"/>
  <c r="H110" i="8"/>
  <c r="H48" i="7"/>
  <c r="H50" i="7" s="1"/>
  <c r="H39" i="7"/>
  <c r="H38" i="14"/>
  <c r="H40" i="14" s="1"/>
  <c r="J36" i="14"/>
  <c r="J37" i="14" s="1"/>
  <c r="H260" i="15"/>
  <c r="B261" i="15" s="1"/>
  <c r="G72" i="8"/>
  <c r="G78" i="8" s="1"/>
  <c r="H62" i="8"/>
  <c r="B63" i="8" s="1"/>
  <c r="D57" i="19"/>
  <c r="F57" i="19" s="1"/>
  <c r="H57" i="19" s="1"/>
  <c r="I57" i="19" s="1"/>
  <c r="F56" i="19"/>
  <c r="H56" i="19" s="1"/>
  <c r="I56" i="19" s="1"/>
  <c r="H24" i="19"/>
  <c r="F20" i="19"/>
  <c r="H20" i="19" s="1"/>
  <c r="F19" i="19"/>
  <c r="H19" i="19" s="1"/>
  <c r="F18" i="19"/>
  <c r="H18" i="19" s="1"/>
  <c r="H12" i="19"/>
  <c r="F10" i="19"/>
  <c r="F9" i="19"/>
  <c r="F8" i="19"/>
  <c r="F7" i="19"/>
  <c r="F6" i="19"/>
  <c r="H6" i="19" s="1"/>
  <c r="F36" i="18"/>
  <c r="E33" i="18"/>
  <c r="F27" i="18"/>
  <c r="H27" i="18" s="1"/>
  <c r="I27" i="18" s="1"/>
  <c r="F26" i="18"/>
  <c r="H26" i="18" s="1"/>
  <c r="I26" i="18" s="1"/>
  <c r="D24" i="18"/>
  <c r="F24" i="18" s="1"/>
  <c r="D23" i="18"/>
  <c r="F23" i="18" s="1"/>
  <c r="H23" i="18" s="1"/>
  <c r="I23" i="18" s="1"/>
  <c r="B24" i="18" s="1"/>
  <c r="D20" i="18"/>
  <c r="F20" i="18" s="1"/>
  <c r="D16" i="18"/>
  <c r="F16" i="18" s="1"/>
  <c r="D15" i="18"/>
  <c r="F15" i="18" s="1"/>
  <c r="D14" i="18"/>
  <c r="F14" i="18" s="1"/>
  <c r="H14" i="18" s="1"/>
  <c r="I14" i="18" s="1"/>
  <c r="B15" i="18" s="1"/>
  <c r="D8" i="18"/>
  <c r="F8" i="18" s="1"/>
  <c r="D7" i="18"/>
  <c r="F7" i="18" s="1"/>
  <c r="I29" i="18"/>
  <c r="F19" i="18"/>
  <c r="H19" i="18" s="1"/>
  <c r="N10" i="18"/>
  <c r="O10" i="18" s="1"/>
  <c r="B10" i="18"/>
  <c r="N9" i="18"/>
  <c r="O9" i="18" s="1"/>
  <c r="F6" i="18"/>
  <c r="H6" i="18" s="1"/>
  <c r="I6" i="18" s="1"/>
  <c r="J44" i="14" l="1"/>
  <c r="J45" i="14" s="1"/>
  <c r="J52" i="14" s="1"/>
  <c r="J38" i="14"/>
  <c r="G261" i="15"/>
  <c r="E88" i="8"/>
  <c r="E90" i="8" s="1"/>
  <c r="H78" i="8"/>
  <c r="H72" i="8"/>
  <c r="G63" i="8"/>
  <c r="G65" i="8" s="1"/>
  <c r="H23" i="19"/>
  <c r="H25" i="19" s="1"/>
  <c r="I6" i="19"/>
  <c r="C7" i="19" s="1"/>
  <c r="H7" i="19" s="1"/>
  <c r="H59" i="19"/>
  <c r="B8" i="18"/>
  <c r="H8" i="18" s="1"/>
  <c r="I8" i="18" s="1"/>
  <c r="B7" i="18"/>
  <c r="H15" i="18"/>
  <c r="I15" i="18" s="1"/>
  <c r="B16" i="18" s="1"/>
  <c r="H16" i="18" s="1"/>
  <c r="I16" i="18" s="1"/>
  <c r="O11" i="18"/>
  <c r="H24" i="18"/>
  <c r="I24" i="18" s="1"/>
  <c r="I19" i="18"/>
  <c r="B20" i="18" s="1"/>
  <c r="H20" i="18" s="1"/>
  <c r="I20" i="18" s="1"/>
  <c r="G13" i="17"/>
  <c r="C8" i="17"/>
  <c r="E8" i="17" s="1"/>
  <c r="C6" i="17"/>
  <c r="E6" i="17" s="1"/>
  <c r="E5" i="17"/>
  <c r="G5" i="17" s="1"/>
  <c r="K8" i="17" s="1"/>
  <c r="M10" i="16"/>
  <c r="N10" i="16" s="1"/>
  <c r="M9" i="16"/>
  <c r="N9" i="16" s="1"/>
  <c r="E6" i="16"/>
  <c r="F36" i="16"/>
  <c r="E24" i="16"/>
  <c r="E15" i="16"/>
  <c r="E14" i="16"/>
  <c r="G14" i="16" s="1"/>
  <c r="H14" i="16" s="1"/>
  <c r="B10" i="16"/>
  <c r="E8" i="16"/>
  <c r="H6" i="16"/>
  <c r="H7" i="16" s="1"/>
  <c r="B8" i="16" s="1"/>
  <c r="J25" i="14"/>
  <c r="E28" i="14"/>
  <c r="Q5" i="12"/>
  <c r="Q6" i="12" s="1"/>
  <c r="B246" i="15"/>
  <c r="B247" i="15" s="1"/>
  <c r="B239" i="15"/>
  <c r="B240" i="15" s="1"/>
  <c r="B231" i="15"/>
  <c r="B232" i="15" s="1"/>
  <c r="F222" i="15"/>
  <c r="C221" i="15"/>
  <c r="C222" i="15" s="1"/>
  <c r="J19" i="14"/>
  <c r="B21" i="14"/>
  <c r="B20" i="14"/>
  <c r="D8" i="14"/>
  <c r="F8" i="14" s="1"/>
  <c r="E5" i="14"/>
  <c r="F5" i="14" s="1"/>
  <c r="H5" i="14" s="1"/>
  <c r="J5" i="14" s="1"/>
  <c r="E11" i="14"/>
  <c r="D13" i="14" s="1"/>
  <c r="E13" i="14" s="1"/>
  <c r="D14" i="14" s="1"/>
  <c r="F14" i="14" s="1"/>
  <c r="O5" i="14"/>
  <c r="N11" i="16" l="1"/>
  <c r="H261" i="15"/>
  <c r="B262" i="15" s="1"/>
  <c r="H63" i="8"/>
  <c r="H65" i="8"/>
  <c r="D83" i="8"/>
  <c r="D90" i="8" s="1"/>
  <c r="E91" i="8" s="1"/>
  <c r="H96" i="8" s="1"/>
  <c r="K108" i="8" s="1"/>
  <c r="I7" i="19"/>
  <c r="H29" i="18"/>
  <c r="F37" i="18" s="1"/>
  <c r="F39" i="18" s="1"/>
  <c r="H7" i="18"/>
  <c r="H10" i="18" s="1"/>
  <c r="I10" i="18" s="1"/>
  <c r="K5" i="17"/>
  <c r="I5" i="17"/>
  <c r="G8" i="16"/>
  <c r="H8" i="16" s="1"/>
  <c r="G15" i="16"/>
  <c r="H15" i="16" s="1"/>
  <c r="C223" i="15"/>
  <c r="C224" i="15" s="1"/>
  <c r="B233" i="15"/>
  <c r="B234" i="15" s="1"/>
  <c r="B242" i="15" s="1"/>
  <c r="B248" i="15"/>
  <c r="B249" i="15" s="1"/>
  <c r="D6" i="14"/>
  <c r="F6" i="14" s="1"/>
  <c r="J6" i="14" s="1"/>
  <c r="C7" i="14" s="1"/>
  <c r="D7" i="14"/>
  <c r="D12" i="14"/>
  <c r="F12" i="14" s="1"/>
  <c r="F11" i="14"/>
  <c r="H11" i="14" s="1"/>
  <c r="F13" i="14"/>
  <c r="H13" i="14" s="1"/>
  <c r="C121" i="15"/>
  <c r="E121" i="15" s="1"/>
  <c r="C115" i="15"/>
  <c r="E115" i="15" s="1"/>
  <c r="G204" i="15"/>
  <c r="C214" i="15"/>
  <c r="C215" i="15" s="1"/>
  <c r="B214" i="15"/>
  <c r="B215" i="15" s="1"/>
  <c r="F214" i="15"/>
  <c r="F210" i="15"/>
  <c r="C206" i="15"/>
  <c r="C207" i="15" s="1"/>
  <c r="B206" i="15"/>
  <c r="B207" i="15" s="1"/>
  <c r="J196" i="15"/>
  <c r="J197" i="15" s="1"/>
  <c r="K199" i="15" s="1"/>
  <c r="K174" i="15"/>
  <c r="C199" i="15"/>
  <c r="D199" i="15"/>
  <c r="B187" i="15"/>
  <c r="H194" i="15" s="1"/>
  <c r="E185" i="15"/>
  <c r="G185" i="15" s="1"/>
  <c r="E184" i="15"/>
  <c r="G184" i="15" s="1"/>
  <c r="C182" i="15"/>
  <c r="E182" i="15" s="1"/>
  <c r="E181" i="15"/>
  <c r="G181" i="15" s="1"/>
  <c r="B182" i="15" s="1"/>
  <c r="C179" i="15"/>
  <c r="E179" i="15" s="1"/>
  <c r="E178" i="15"/>
  <c r="G178" i="15" s="1"/>
  <c r="C170" i="15"/>
  <c r="E170" i="15" s="1"/>
  <c r="C169" i="15"/>
  <c r="E169" i="15" s="1"/>
  <c r="C168" i="15"/>
  <c r="E168" i="15" s="1"/>
  <c r="E167" i="15"/>
  <c r="G167" i="15" s="1"/>
  <c r="C164" i="15"/>
  <c r="E164" i="15" s="1"/>
  <c r="C163" i="15"/>
  <c r="E163" i="15" s="1"/>
  <c r="C162" i="15"/>
  <c r="E162" i="15" s="1"/>
  <c r="C161" i="15"/>
  <c r="E161" i="15" s="1"/>
  <c r="E160" i="15"/>
  <c r="G160" i="15" s="1"/>
  <c r="B28" i="15"/>
  <c r="H35" i="15" s="1"/>
  <c r="E25" i="15"/>
  <c r="G25" i="15" s="1"/>
  <c r="D26" i="15"/>
  <c r="C26" i="15"/>
  <c r="C16" i="15"/>
  <c r="E16" i="15" s="1"/>
  <c r="C9" i="15"/>
  <c r="E9" i="15" s="1"/>
  <c r="D150" i="15"/>
  <c r="C150" i="15"/>
  <c r="B138" i="15"/>
  <c r="H145" i="15" s="1"/>
  <c r="E135" i="15"/>
  <c r="G135" i="15" s="1"/>
  <c r="C133" i="15"/>
  <c r="E133" i="15" s="1"/>
  <c r="E132" i="15"/>
  <c r="G132" i="15" s="1"/>
  <c r="B133" i="15" s="1"/>
  <c r="C130" i="15"/>
  <c r="E130" i="15" s="1"/>
  <c r="E129" i="15"/>
  <c r="G129" i="15" s="1"/>
  <c r="C120" i="15"/>
  <c r="E120" i="15" s="1"/>
  <c r="C119" i="15"/>
  <c r="E119" i="15" s="1"/>
  <c r="E118" i="15"/>
  <c r="G118" i="15" s="1"/>
  <c r="H118" i="15" s="1"/>
  <c r="B119" i="15" s="1"/>
  <c r="C114" i="15"/>
  <c r="E114" i="15" s="1"/>
  <c r="C113" i="15"/>
  <c r="E113" i="15" s="1"/>
  <c r="C112" i="15"/>
  <c r="E112" i="15" s="1"/>
  <c r="E111" i="15"/>
  <c r="G111" i="15" s="1"/>
  <c r="H111" i="15" s="1"/>
  <c r="B112" i="15" s="1"/>
  <c r="B86" i="15"/>
  <c r="H94" i="15" s="1"/>
  <c r="E85" i="15"/>
  <c r="G85" i="15" s="1"/>
  <c r="E84" i="15"/>
  <c r="G84" i="15" s="1"/>
  <c r="C77" i="15"/>
  <c r="E77" i="15" s="1"/>
  <c r="C76" i="15"/>
  <c r="E76" i="15" s="1"/>
  <c r="E75" i="15"/>
  <c r="G75" i="15" s="1"/>
  <c r="C71" i="15"/>
  <c r="E71" i="15" s="1"/>
  <c r="C70" i="15"/>
  <c r="E70" i="15" s="1"/>
  <c r="E69" i="15"/>
  <c r="C54" i="15"/>
  <c r="E54" i="15" s="1"/>
  <c r="G54" i="15" s="1"/>
  <c r="H54" i="15" s="1"/>
  <c r="E53" i="15"/>
  <c r="G53" i="15" s="1"/>
  <c r="M47" i="15"/>
  <c r="O47" i="15" s="1"/>
  <c r="M46" i="15"/>
  <c r="O46" i="15" s="1"/>
  <c r="L46" i="15"/>
  <c r="D39" i="15"/>
  <c r="C39" i="15"/>
  <c r="L24" i="15"/>
  <c r="O22" i="15"/>
  <c r="Q22" i="15" s="1"/>
  <c r="E24" i="15"/>
  <c r="G24" i="15" s="1"/>
  <c r="O21" i="15"/>
  <c r="Q21" i="15" s="1"/>
  <c r="E23" i="15"/>
  <c r="G23" i="15" s="1"/>
  <c r="M16" i="15"/>
  <c r="O16" i="15" s="1"/>
  <c r="M14" i="15"/>
  <c r="O14" i="15" s="1"/>
  <c r="C15" i="15"/>
  <c r="E15" i="15" s="1"/>
  <c r="M13" i="15"/>
  <c r="O13" i="15" s="1"/>
  <c r="C14" i="15"/>
  <c r="E14" i="15" s="1"/>
  <c r="O12" i="15"/>
  <c r="Q12" i="15" s="1"/>
  <c r="E13" i="15"/>
  <c r="G13" i="15" s="1"/>
  <c r="M8" i="15"/>
  <c r="O8" i="15" s="1"/>
  <c r="C8" i="15"/>
  <c r="E8" i="15" s="1"/>
  <c r="M7" i="15"/>
  <c r="O7" i="15" s="1"/>
  <c r="C7" i="15"/>
  <c r="E7" i="15" s="1"/>
  <c r="O6" i="15"/>
  <c r="Q6" i="15" s="1"/>
  <c r="R6" i="15" s="1"/>
  <c r="L7" i="15" s="1"/>
  <c r="E6" i="15"/>
  <c r="H12" i="13"/>
  <c r="D7" i="13"/>
  <c r="D6" i="13"/>
  <c r="F6" i="13" s="1"/>
  <c r="D5" i="13"/>
  <c r="F5" i="13" s="1"/>
  <c r="F4" i="13"/>
  <c r="H4" i="13" s="1"/>
  <c r="I4" i="13" s="1"/>
  <c r="C5" i="13" s="1"/>
  <c r="B11" i="8"/>
  <c r="B24" i="8"/>
  <c r="E21" i="8"/>
  <c r="G21" i="8" s="1"/>
  <c r="F44" i="8"/>
  <c r="E33" i="8"/>
  <c r="E32" i="8"/>
  <c r="E31" i="8"/>
  <c r="H21" i="8"/>
  <c r="B22" i="8" s="1"/>
  <c r="G22" i="8" s="1"/>
  <c r="H22" i="8" s="1"/>
  <c r="C17" i="8"/>
  <c r="E17" i="8" s="1"/>
  <c r="C16" i="8"/>
  <c r="E16" i="8" s="1"/>
  <c r="C116" i="6"/>
  <c r="E116" i="6" s="1"/>
  <c r="C110" i="6"/>
  <c r="E110" i="6" s="1"/>
  <c r="C19" i="11"/>
  <c r="E19" i="11" s="1"/>
  <c r="G19" i="11" s="1"/>
  <c r="H19" i="11" s="1"/>
  <c r="J5" i="12"/>
  <c r="J6" i="12" s="1"/>
  <c r="E10" i="12"/>
  <c r="G10" i="12" s="1"/>
  <c r="H10" i="12" s="1"/>
  <c r="B12" i="12"/>
  <c r="E11" i="12"/>
  <c r="G11" i="12" s="1"/>
  <c r="H11" i="12" s="1"/>
  <c r="E5" i="12"/>
  <c r="G5" i="12" s="1"/>
  <c r="G15" i="11"/>
  <c r="E10" i="11"/>
  <c r="G10" i="11" s="1"/>
  <c r="E6" i="11"/>
  <c r="E5" i="11"/>
  <c r="G5" i="11" s="1"/>
  <c r="H5" i="11" s="1"/>
  <c r="H24" i="7"/>
  <c r="H12" i="7"/>
  <c r="D22" i="7"/>
  <c r="F22" i="7" s="1"/>
  <c r="H22" i="7" s="1"/>
  <c r="D21" i="7"/>
  <c r="F21" i="7" s="1"/>
  <c r="H21" i="7" s="1"/>
  <c r="D20" i="7"/>
  <c r="F20" i="7" s="1"/>
  <c r="H20" i="7" s="1"/>
  <c r="D19" i="7"/>
  <c r="F19" i="7" s="1"/>
  <c r="H19" i="7" s="1"/>
  <c r="F18" i="7"/>
  <c r="H18" i="7" s="1"/>
  <c r="D8" i="7"/>
  <c r="F8" i="7" s="1"/>
  <c r="D9" i="7"/>
  <c r="F9" i="7" s="1"/>
  <c r="D10" i="7"/>
  <c r="F10" i="7" s="1"/>
  <c r="C145" i="6"/>
  <c r="B133" i="6"/>
  <c r="H140" i="6" s="1"/>
  <c r="E131" i="6"/>
  <c r="G131" i="6" s="1"/>
  <c r="C109" i="6"/>
  <c r="E109" i="6" s="1"/>
  <c r="E130" i="6"/>
  <c r="G130" i="6" s="1"/>
  <c r="C128" i="6"/>
  <c r="E128" i="6" s="1"/>
  <c r="C125" i="6"/>
  <c r="E125" i="6" s="1"/>
  <c r="D145" i="6"/>
  <c r="E127" i="6"/>
  <c r="G127" i="6" s="1"/>
  <c r="B128" i="6" s="1"/>
  <c r="E124" i="6"/>
  <c r="G124" i="6" s="1"/>
  <c r="B125" i="6" s="1"/>
  <c r="C115" i="6"/>
  <c r="E115" i="6" s="1"/>
  <c r="C114" i="6"/>
  <c r="E114" i="6" s="1"/>
  <c r="E113" i="6"/>
  <c r="C108" i="6"/>
  <c r="E108" i="6" s="1"/>
  <c r="C107" i="6"/>
  <c r="E107" i="6" s="1"/>
  <c r="E106" i="6"/>
  <c r="G106" i="6" s="1"/>
  <c r="C8" i="8"/>
  <c r="E8" i="8" s="1"/>
  <c r="C7" i="8"/>
  <c r="E7" i="8" s="1"/>
  <c r="E19" i="8"/>
  <c r="G19" i="8" s="1"/>
  <c r="H19" i="8" s="1"/>
  <c r="B20" i="8" s="1"/>
  <c r="G20" i="8" s="1"/>
  <c r="H20" i="8" s="1"/>
  <c r="E15" i="8"/>
  <c r="G15" i="8" s="1"/>
  <c r="H15" i="8" s="1"/>
  <c r="B16" i="8" s="1"/>
  <c r="E6" i="8"/>
  <c r="G6" i="8" s="1"/>
  <c r="B81" i="6"/>
  <c r="H89" i="6" s="1"/>
  <c r="E80" i="6"/>
  <c r="G80" i="6" s="1"/>
  <c r="E79" i="6"/>
  <c r="G79" i="6" s="1"/>
  <c r="C72" i="6"/>
  <c r="E72" i="6" s="1"/>
  <c r="C71" i="6"/>
  <c r="E71" i="6" s="1"/>
  <c r="E70" i="6"/>
  <c r="G70" i="6" s="1"/>
  <c r="H70" i="6" s="1"/>
  <c r="B71" i="6" s="1"/>
  <c r="C66" i="6"/>
  <c r="E66" i="6" s="1"/>
  <c r="C65" i="6"/>
  <c r="E65" i="6" s="1"/>
  <c r="E64" i="6"/>
  <c r="G64" i="6" s="1"/>
  <c r="D55" i="7"/>
  <c r="F55" i="7" s="1"/>
  <c r="H55" i="7" s="1"/>
  <c r="I55" i="7" s="1"/>
  <c r="F54" i="7"/>
  <c r="H54" i="7" s="1"/>
  <c r="D7" i="7"/>
  <c r="F7" i="7" s="1"/>
  <c r="F6" i="7"/>
  <c r="H6" i="7" s="1"/>
  <c r="M47" i="6"/>
  <c r="O47" i="6" s="1"/>
  <c r="C49" i="6"/>
  <c r="E49" i="6" s="1"/>
  <c r="M46" i="6"/>
  <c r="O46" i="6" s="1"/>
  <c r="L46" i="6"/>
  <c r="E48" i="6"/>
  <c r="G48" i="6" s="1"/>
  <c r="C8" i="6"/>
  <c r="E8" i="6" s="1"/>
  <c r="C7" i="6"/>
  <c r="E7" i="6" s="1"/>
  <c r="D34" i="6"/>
  <c r="C34" i="6"/>
  <c r="L24" i="6"/>
  <c r="B23" i="6"/>
  <c r="H30" i="6" s="1"/>
  <c r="O22" i="6"/>
  <c r="Q22" i="6" s="1"/>
  <c r="E22" i="6"/>
  <c r="G22" i="6" s="1"/>
  <c r="O21" i="6"/>
  <c r="Q21" i="6" s="1"/>
  <c r="E21" i="6"/>
  <c r="G21" i="6" s="1"/>
  <c r="M16" i="6"/>
  <c r="O16" i="6" s="1"/>
  <c r="M14" i="6"/>
  <c r="O14" i="6" s="1"/>
  <c r="C14" i="6"/>
  <c r="E14" i="6" s="1"/>
  <c r="M13" i="6"/>
  <c r="O13" i="6" s="1"/>
  <c r="C13" i="6"/>
  <c r="E13" i="6" s="1"/>
  <c r="O12" i="6"/>
  <c r="Q12" i="6" s="1"/>
  <c r="E12" i="6"/>
  <c r="G12" i="6" s="1"/>
  <c r="H12" i="6" s="1"/>
  <c r="B13" i="6" s="1"/>
  <c r="M8" i="6"/>
  <c r="O8" i="6" s="1"/>
  <c r="M7" i="6"/>
  <c r="O7" i="6" s="1"/>
  <c r="O6" i="6"/>
  <c r="Q6" i="6" s="1"/>
  <c r="E6" i="6"/>
  <c r="G6" i="6" s="1"/>
  <c r="G13" i="6" l="1"/>
  <c r="H13" i="6" s="1"/>
  <c r="B14" i="6" s="1"/>
  <c r="G14" i="6" s="1"/>
  <c r="H14" i="6" s="1"/>
  <c r="E111" i="6"/>
  <c r="L8" i="12"/>
  <c r="J8" i="12"/>
  <c r="J10" i="12" s="1"/>
  <c r="H5" i="12"/>
  <c r="H12" i="12"/>
  <c r="E118" i="6"/>
  <c r="E26" i="15"/>
  <c r="G26" i="15" s="1"/>
  <c r="G29" i="15" s="1"/>
  <c r="H29" i="15" s="1"/>
  <c r="G262" i="15"/>
  <c r="C8" i="19"/>
  <c r="H8" i="19" s="1"/>
  <c r="I8" i="19" s="1"/>
  <c r="E34" i="18"/>
  <c r="E39" i="18" s="1"/>
  <c r="F40" i="18" s="1"/>
  <c r="I7" i="18"/>
  <c r="I36" i="18"/>
  <c r="B6" i="17"/>
  <c r="I6" i="17" s="1"/>
  <c r="G17" i="16"/>
  <c r="E26" i="16" s="1"/>
  <c r="E28" i="16" s="1"/>
  <c r="G10" i="16"/>
  <c r="G133" i="15"/>
  <c r="B251" i="15"/>
  <c r="C208" i="15"/>
  <c r="C209" i="15" s="1"/>
  <c r="C217" i="15" s="1"/>
  <c r="B208" i="15"/>
  <c r="B209" i="15" s="1"/>
  <c r="B217" i="15" s="1"/>
  <c r="J11" i="14"/>
  <c r="C12" i="14"/>
  <c r="H12" i="14" s="1"/>
  <c r="I12" i="14" s="1"/>
  <c r="L12" i="14" s="1"/>
  <c r="H7" i="14"/>
  <c r="E165" i="15"/>
  <c r="G182" i="15"/>
  <c r="H167" i="15"/>
  <c r="B168" i="15" s="1"/>
  <c r="G168" i="15" s="1"/>
  <c r="H168" i="15" s="1"/>
  <c r="B169" i="15" s="1"/>
  <c r="G169" i="15" s="1"/>
  <c r="H169" i="15" s="1"/>
  <c r="E172" i="15"/>
  <c r="H160" i="15"/>
  <c r="B161" i="15" s="1"/>
  <c r="B179" i="15"/>
  <c r="G179" i="15" s="1"/>
  <c r="G119" i="15"/>
  <c r="H119" i="15" s="1"/>
  <c r="B120" i="15" s="1"/>
  <c r="G120" i="15" s="1"/>
  <c r="H120" i="15" s="1"/>
  <c r="B121" i="15" s="1"/>
  <c r="G121" i="15" s="1"/>
  <c r="H121" i="15" s="1"/>
  <c r="E11" i="15"/>
  <c r="E79" i="15"/>
  <c r="G112" i="15"/>
  <c r="H112" i="15" s="1"/>
  <c r="B113" i="15" s="1"/>
  <c r="E123" i="15"/>
  <c r="G6" i="15"/>
  <c r="Q46" i="15"/>
  <c r="R46" i="15" s="1"/>
  <c r="L47" i="15" s="1"/>
  <c r="E73" i="15"/>
  <c r="H53" i="15"/>
  <c r="G56" i="15"/>
  <c r="G87" i="15"/>
  <c r="H93" i="15" s="1"/>
  <c r="Q25" i="15"/>
  <c r="Q7" i="15"/>
  <c r="R7" i="15" s="1"/>
  <c r="L8" i="15" s="1"/>
  <c r="H13" i="15"/>
  <c r="B14" i="15" s="1"/>
  <c r="G14" i="15" s="1"/>
  <c r="H14" i="15" s="1"/>
  <c r="B15" i="15" s="1"/>
  <c r="G15" i="15" s="1"/>
  <c r="H15" i="15" s="1"/>
  <c r="B16" i="15" s="1"/>
  <c r="G16" i="15" s="1"/>
  <c r="H16" i="15" s="1"/>
  <c r="B130" i="15"/>
  <c r="G130" i="15" s="1"/>
  <c r="E116" i="15"/>
  <c r="E18" i="15"/>
  <c r="R12" i="15"/>
  <c r="L13" i="15" s="1"/>
  <c r="Q13" i="15" s="1"/>
  <c r="R13" i="15" s="1"/>
  <c r="L14" i="15" s="1"/>
  <c r="Q14" i="15" s="1"/>
  <c r="R14" i="15" s="1"/>
  <c r="L16" i="15" s="1"/>
  <c r="Q16" i="15" s="1"/>
  <c r="R16" i="15" s="1"/>
  <c r="G69" i="15"/>
  <c r="H75" i="15"/>
  <c r="B76" i="15" s="1"/>
  <c r="G76" i="15" s="1"/>
  <c r="H76" i="15" s="1"/>
  <c r="B77" i="15" s="1"/>
  <c r="G77" i="15" s="1"/>
  <c r="H77" i="15" s="1"/>
  <c r="H5" i="13"/>
  <c r="G16" i="8"/>
  <c r="H16" i="8" s="1"/>
  <c r="B17" i="8" s="1"/>
  <c r="G17" i="8" s="1"/>
  <c r="H17" i="8" s="1"/>
  <c r="G12" i="12"/>
  <c r="I6" i="7"/>
  <c r="G6" i="11"/>
  <c r="H6" i="11" s="1"/>
  <c r="H10" i="11"/>
  <c r="G128" i="6"/>
  <c r="E68" i="6"/>
  <c r="G125" i="6"/>
  <c r="G82" i="6"/>
  <c r="H88" i="6" s="1"/>
  <c r="Q25" i="6"/>
  <c r="Q46" i="6"/>
  <c r="R46" i="6" s="1"/>
  <c r="L47" i="6" s="1"/>
  <c r="H106" i="6"/>
  <c r="B107" i="6" s="1"/>
  <c r="G113" i="6"/>
  <c r="H6" i="8"/>
  <c r="B7" i="8" s="1"/>
  <c r="G7" i="8" s="1"/>
  <c r="G24" i="6"/>
  <c r="G71" i="6"/>
  <c r="H71" i="6" s="1"/>
  <c r="B72" i="6" s="1"/>
  <c r="G72" i="6" s="1"/>
  <c r="H72" i="6" s="1"/>
  <c r="E74" i="6"/>
  <c r="H64" i="6"/>
  <c r="B65" i="6" s="1"/>
  <c r="I54" i="7"/>
  <c r="H57" i="7"/>
  <c r="E10" i="6"/>
  <c r="H48" i="6"/>
  <c r="G49" i="6"/>
  <c r="H49" i="6" s="1"/>
  <c r="R6" i="6"/>
  <c r="L7" i="6" s="1"/>
  <c r="R12" i="6"/>
  <c r="L13" i="6" s="1"/>
  <c r="Q13" i="6" s="1"/>
  <c r="R13" i="6" s="1"/>
  <c r="L14" i="6" s="1"/>
  <c r="Q14" i="6" s="1"/>
  <c r="R14" i="6" s="1"/>
  <c r="L16" i="6" s="1"/>
  <c r="Q16" i="6" s="1"/>
  <c r="R16" i="6" s="1"/>
  <c r="E16" i="6"/>
  <c r="H6" i="6"/>
  <c r="B7" i="6" s="1"/>
  <c r="G17" i="6"/>
  <c r="G188" i="15" l="1"/>
  <c r="H193" i="15" s="1"/>
  <c r="H262" i="15"/>
  <c r="B263" i="15" s="1"/>
  <c r="G263" i="15" s="1"/>
  <c r="G278" i="15" s="1"/>
  <c r="H278" i="15" s="1"/>
  <c r="G139" i="15"/>
  <c r="B18" i="8"/>
  <c r="H17" i="16"/>
  <c r="H24" i="16"/>
  <c r="H10" i="16"/>
  <c r="D22" i="16"/>
  <c r="M8" i="14"/>
  <c r="J12" i="14"/>
  <c r="J13" i="14" s="1"/>
  <c r="C14" i="14" s="1"/>
  <c r="H14" i="14" s="1"/>
  <c r="J7" i="14"/>
  <c r="C8" i="14" s="1"/>
  <c r="H188" i="15"/>
  <c r="G161" i="15"/>
  <c r="H161" i="15" s="1"/>
  <c r="B162" i="15" s="1"/>
  <c r="B170" i="15"/>
  <c r="G170" i="15" s="1"/>
  <c r="H170" i="15" s="1"/>
  <c r="G123" i="15"/>
  <c r="H34" i="15"/>
  <c r="H6" i="15"/>
  <c r="B7" i="15" s="1"/>
  <c r="G7" i="15" s="1"/>
  <c r="H7" i="15" s="1"/>
  <c r="B8" i="15" s="1"/>
  <c r="G8" i="15" s="1"/>
  <c r="G80" i="15"/>
  <c r="Q8" i="15"/>
  <c r="Q10" i="15" s="1"/>
  <c r="G113" i="15"/>
  <c r="H113" i="15" s="1"/>
  <c r="B114" i="15" s="1"/>
  <c r="H139" i="15"/>
  <c r="H144" i="15"/>
  <c r="H69" i="15"/>
  <c r="B70" i="15" s="1"/>
  <c r="Q47" i="15"/>
  <c r="R47" i="15" s="1"/>
  <c r="G19" i="15"/>
  <c r="Q17" i="15"/>
  <c r="I5" i="13"/>
  <c r="H7" i="7"/>
  <c r="I7" i="7" s="1"/>
  <c r="G12" i="11"/>
  <c r="G8" i="11"/>
  <c r="G134" i="6"/>
  <c r="G51" i="6"/>
  <c r="G107" i="6"/>
  <c r="H113" i="6"/>
  <c r="B114" i="6" s="1"/>
  <c r="G114" i="6" s="1"/>
  <c r="H114" i="6" s="1"/>
  <c r="B115" i="6" s="1"/>
  <c r="G115" i="6" s="1"/>
  <c r="H7" i="8"/>
  <c r="B8" i="8" s="1"/>
  <c r="H29" i="6"/>
  <c r="H24" i="6"/>
  <c r="G75" i="6"/>
  <c r="G65" i="6"/>
  <c r="Q47" i="6"/>
  <c r="R47" i="6" s="1"/>
  <c r="G7" i="6"/>
  <c r="H7" i="6" s="1"/>
  <c r="B8" i="6" s="1"/>
  <c r="Q7" i="6"/>
  <c r="Q17" i="6"/>
  <c r="G14" i="11" l="1"/>
  <c r="G16" i="11" s="1"/>
  <c r="D28" i="16"/>
  <c r="E29" i="16" s="1"/>
  <c r="E40" i="16" s="1"/>
  <c r="H263" i="15"/>
  <c r="H302" i="15" s="1"/>
  <c r="H307" i="15" s="1"/>
  <c r="G18" i="8"/>
  <c r="G24" i="8" s="1"/>
  <c r="H11" i="19"/>
  <c r="H13" i="19" s="1"/>
  <c r="B8" i="17"/>
  <c r="G8" i="17"/>
  <c r="H16" i="14"/>
  <c r="J14" i="14"/>
  <c r="G172" i="15"/>
  <c r="G162" i="15"/>
  <c r="H162" i="15" s="1"/>
  <c r="B163" i="15" s="1"/>
  <c r="J32" i="15"/>
  <c r="Q31" i="15"/>
  <c r="G70" i="15"/>
  <c r="G114" i="15"/>
  <c r="H8" i="15"/>
  <c r="R8" i="15"/>
  <c r="R25" i="15" s="1"/>
  <c r="N33" i="15" s="1"/>
  <c r="N38" i="15" s="1"/>
  <c r="N40" i="15" s="1"/>
  <c r="H6" i="13"/>
  <c r="C6" i="13"/>
  <c r="H139" i="6"/>
  <c r="H134" i="6"/>
  <c r="H115" i="6"/>
  <c r="B116" i="6" s="1"/>
  <c r="G116" i="6" s="1"/>
  <c r="H116" i="6" s="1"/>
  <c r="H8" i="7"/>
  <c r="I8" i="7" s="1"/>
  <c r="H107" i="6"/>
  <c r="B108" i="6" s="1"/>
  <c r="G8" i="8"/>
  <c r="H65" i="6"/>
  <c r="B66" i="6" s="1"/>
  <c r="R7" i="6"/>
  <c r="L8" i="6" s="1"/>
  <c r="G8" i="6"/>
  <c r="H8" i="6" s="1"/>
  <c r="H27" i="6" s="1"/>
  <c r="H32" i="6" s="1"/>
  <c r="H34" i="6" s="1"/>
  <c r="J32" i="6"/>
  <c r="Q31" i="6"/>
  <c r="I8" i="17" l="1"/>
  <c r="G118" i="6"/>
  <c r="H18" i="8"/>
  <c r="E34" i="8"/>
  <c r="E36" i="8" s="1"/>
  <c r="H24" i="8"/>
  <c r="I8" i="14"/>
  <c r="M16" i="14" s="1"/>
  <c r="H9" i="14"/>
  <c r="G163" i="15"/>
  <c r="B9" i="15"/>
  <c r="H70" i="15"/>
  <c r="B71" i="15" s="1"/>
  <c r="H114" i="15"/>
  <c r="B115" i="15" s="1"/>
  <c r="G115" i="15" s="1"/>
  <c r="H115" i="15" s="1"/>
  <c r="I6" i="13"/>
  <c r="H9" i="7"/>
  <c r="I9" i="7" s="1"/>
  <c r="H41" i="6"/>
  <c r="H36" i="6"/>
  <c r="G108" i="6"/>
  <c r="H8" i="8"/>
  <c r="B9" i="8" s="1"/>
  <c r="G9" i="8" s="1"/>
  <c r="H9" i="8" s="1"/>
  <c r="G66" i="6"/>
  <c r="G68" i="6" s="1"/>
  <c r="Q8" i="6"/>
  <c r="Q10" i="6" s="1"/>
  <c r="B9" i="17" l="1"/>
  <c r="G9" i="17"/>
  <c r="G11" i="8"/>
  <c r="H163" i="15"/>
  <c r="B164" i="15" s="1"/>
  <c r="D28" i="14"/>
  <c r="J20" i="14"/>
  <c r="J21" i="14" s="1"/>
  <c r="J27" i="14" s="1"/>
  <c r="J8" i="14"/>
  <c r="N12" i="14" s="1"/>
  <c r="N14" i="14" s="1"/>
  <c r="G9" i="15"/>
  <c r="G11" i="15" s="1"/>
  <c r="H142" i="15"/>
  <c r="H147" i="15" s="1"/>
  <c r="J142" i="15" s="1"/>
  <c r="H125" i="15"/>
  <c r="G71" i="15"/>
  <c r="G73" i="15" s="1"/>
  <c r="C7" i="13"/>
  <c r="H7" i="13"/>
  <c r="H10" i="7"/>
  <c r="H11" i="7" s="1"/>
  <c r="H13" i="7" s="1"/>
  <c r="K14" i="7" s="1"/>
  <c r="H23" i="7"/>
  <c r="H25" i="7" s="1"/>
  <c r="H66" i="6"/>
  <c r="H86" i="6" s="1"/>
  <c r="H91" i="6" s="1"/>
  <c r="H93" i="6" s="1"/>
  <c r="H108" i="6"/>
  <c r="R8" i="6"/>
  <c r="R25" i="6" s="1"/>
  <c r="N33" i="6" s="1"/>
  <c r="N38" i="6" s="1"/>
  <c r="N40" i="6" s="1"/>
  <c r="G10" i="6"/>
  <c r="I9" i="17" l="1"/>
  <c r="D29" i="8"/>
  <c r="D36" i="8" s="1"/>
  <c r="E37" i="8" s="1"/>
  <c r="H42" i="8" s="1"/>
  <c r="H11" i="8"/>
  <c r="G164" i="15"/>
  <c r="H9" i="15"/>
  <c r="H32" i="15" s="1"/>
  <c r="H37" i="15" s="1"/>
  <c r="H39" i="15" s="1"/>
  <c r="H71" i="15"/>
  <c r="H91" i="15" s="1"/>
  <c r="H96" i="15" s="1"/>
  <c r="H98" i="15" s="1"/>
  <c r="G116" i="15"/>
  <c r="G125" i="15" s="1"/>
  <c r="I7" i="13"/>
  <c r="I10" i="7"/>
  <c r="B109" i="6"/>
  <c r="G109" i="6" s="1"/>
  <c r="G10" i="17" l="1"/>
  <c r="G12" i="17" s="1"/>
  <c r="G14" i="17" s="1"/>
  <c r="C8" i="13"/>
  <c r="H8" i="13"/>
  <c r="H9" i="13" s="1"/>
  <c r="H11" i="13" s="1"/>
  <c r="H13" i="13" s="1"/>
  <c r="G165" i="15"/>
  <c r="G174" i="15" s="1"/>
  <c r="K188" i="15" s="1"/>
  <c r="K190" i="15" s="1"/>
  <c r="J163" i="15"/>
  <c r="H41" i="15"/>
  <c r="H46" i="15"/>
  <c r="H164" i="15"/>
  <c r="H174" i="15" s="1"/>
  <c r="H191" i="15" s="1"/>
  <c r="H196" i="15" s="1"/>
  <c r="H109" i="6"/>
  <c r="B110" i="6" s="1"/>
  <c r="G110" i="6" s="1"/>
  <c r="I10" i="17" l="1"/>
  <c r="H110" i="6"/>
  <c r="G111" i="6"/>
  <c r="G120" i="6" s="1"/>
  <c r="I8" i="13"/>
  <c r="H120" i="6"/>
  <c r="H137" i="6"/>
  <c r="H142" i="6" s="1"/>
  <c r="J142" i="6" s="1"/>
  <c r="H15" i="13"/>
  <c r="G52" i="24"/>
  <c r="H62" i="24" s="1"/>
  <c r="H67" i="24" l="1"/>
  <c r="H69" i="24" s="1"/>
  <c r="H64" i="24"/>
  <c r="G54" i="24"/>
  <c r="E151" i="14" l="1"/>
</calcChain>
</file>

<file path=xl/sharedStrings.xml><?xml version="1.0" encoding="utf-8"?>
<sst xmlns="http://schemas.openxmlformats.org/spreadsheetml/2006/main" count="2126" uniqueCount="379">
  <si>
    <t>Madan JI Dhayal</t>
  </si>
  <si>
    <t>Date</t>
  </si>
  <si>
    <t>From</t>
  </si>
  <si>
    <t>To</t>
  </si>
  <si>
    <t>Days</t>
  </si>
  <si>
    <t>Rate/Pm</t>
  </si>
  <si>
    <t>Interest Amount</t>
  </si>
  <si>
    <t>Amount</t>
  </si>
  <si>
    <t>Receipt</t>
  </si>
  <si>
    <t>Paid Amount</t>
  </si>
  <si>
    <t>Total Interest to be paid</t>
  </si>
  <si>
    <t>Total Interest to be received</t>
  </si>
  <si>
    <t>Amount Received</t>
  </si>
  <si>
    <t>Paid</t>
  </si>
  <si>
    <t>Balance</t>
  </si>
  <si>
    <t>SUMMARY</t>
  </si>
  <si>
    <t>07.05.2016</t>
  </si>
  <si>
    <t>17.09.2016</t>
  </si>
  <si>
    <t>14.06.2018</t>
  </si>
  <si>
    <t>20.06.2018</t>
  </si>
  <si>
    <t>Less :</t>
  </si>
  <si>
    <t>Payment</t>
  </si>
  <si>
    <t>Total</t>
  </si>
  <si>
    <t>Madan Ji Dhayal</t>
  </si>
  <si>
    <t>Rate/P.A.</t>
  </si>
  <si>
    <t>Total O/s</t>
  </si>
  <si>
    <t>Total Due</t>
  </si>
  <si>
    <t>Less</t>
  </si>
  <si>
    <t>Interest</t>
  </si>
  <si>
    <t>Amount Paid</t>
  </si>
  <si>
    <t>Less : 12.03.2019</t>
  </si>
  <si>
    <t>As per Madan Ji</t>
  </si>
  <si>
    <t>Difference</t>
  </si>
  <si>
    <t>Principle O/s</t>
  </si>
  <si>
    <t>Rajesh ji Dukiya</t>
  </si>
  <si>
    <t>Rajesh Ji Dukiya</t>
  </si>
  <si>
    <t>12.03.2019</t>
  </si>
  <si>
    <t>22.04.2019</t>
  </si>
  <si>
    <t>SHRI RAM LAMBA</t>
  </si>
  <si>
    <t>INTEREST OUTSTANDING</t>
  </si>
  <si>
    <t>TOTAL OUTSTANDING</t>
  </si>
  <si>
    <t>SURJA RAM DUKIYA</t>
  </si>
  <si>
    <t>TOTAL INTERST OUTSTANDING</t>
  </si>
  <si>
    <t>TOTAL PRINCIPAL OUTSTANDING</t>
  </si>
  <si>
    <t>PRINCIPAL OUTSTANDING</t>
  </si>
  <si>
    <t>SIMPLE INTEREST</t>
  </si>
  <si>
    <t>COMPOUNDING INTEREST</t>
  </si>
  <si>
    <t>TCS Amount Deposited</t>
  </si>
  <si>
    <t>BABULAL CHOUDHARY S/O KANARAM CHOUDHARY</t>
  </si>
  <si>
    <t>Amount Due</t>
  </si>
  <si>
    <t>LAXMI ENTERPRISES (KAILASH JI)</t>
  </si>
  <si>
    <t>Sonaram Choudhary</t>
  </si>
  <si>
    <t>Tickets - Jaipur to Mumbai</t>
  </si>
  <si>
    <t>Tickets - Jaipur to Delhi</t>
  </si>
  <si>
    <t>Insurance</t>
  </si>
  <si>
    <t>RJ14 GH 1330</t>
  </si>
  <si>
    <t>Balance to Paid</t>
  </si>
  <si>
    <t>TOTAL</t>
  </si>
  <si>
    <t>TOTAL PAYABLE</t>
  </si>
  <si>
    <t>MAHIPAL DUKIYA</t>
  </si>
  <si>
    <t>DIVIDEND - 22.01.2020</t>
  </si>
  <si>
    <t>DIVIDEND - 08.11.2016</t>
  </si>
  <si>
    <t>DIVIDEND - 17.11-2017</t>
  </si>
  <si>
    <t>DIVIDEND - 08.05.2019</t>
  </si>
  <si>
    <t>DIVIDEND - 15.05.2019</t>
  </si>
  <si>
    <t>Previous Hisab Done  as on 12/3/19</t>
  </si>
  <si>
    <t>As per Our Calculation</t>
  </si>
  <si>
    <t>Balance Due as on 12/3/19</t>
  </si>
  <si>
    <t>Interest Upto 12/3/20</t>
  </si>
  <si>
    <t>Due as on 12/3/20</t>
  </si>
  <si>
    <t>Interest Upto 31/3/20</t>
  </si>
  <si>
    <t>Total DUE</t>
  </si>
  <si>
    <t>Payment Details</t>
  </si>
  <si>
    <t>Payment made on 10/4/2019</t>
  </si>
  <si>
    <t>Total payment After 12/3/19</t>
  </si>
  <si>
    <t>Net Due as on 31/3/20</t>
  </si>
  <si>
    <t>DEDUCTIONS</t>
  </si>
  <si>
    <t>jiwan ji</t>
  </si>
  <si>
    <t>PRAKASH JI SOMANI</t>
  </si>
  <si>
    <t>Interest Paid</t>
  </si>
  <si>
    <t>Principle Paid</t>
  </si>
  <si>
    <t>Total Received</t>
  </si>
  <si>
    <t>Total Payable</t>
  </si>
  <si>
    <t>Balance Payable</t>
  </si>
  <si>
    <t>Interest Upto 30/6/19</t>
  </si>
  <si>
    <t>Amount Received on 30/06/18</t>
  </si>
  <si>
    <t>Due as on 30/6/19</t>
  </si>
  <si>
    <t>Due as on 31/3/20</t>
  </si>
  <si>
    <t>TOTAL DUE ON 31/3/20</t>
  </si>
  <si>
    <t>Total Paid</t>
  </si>
  <si>
    <t>RD Bajrang Khati</t>
  </si>
  <si>
    <t>PAPPU JI MORAD</t>
  </si>
  <si>
    <t>JIWAN JI SEVDA</t>
  </si>
  <si>
    <t>ASURAM KIRDOLIYA</t>
  </si>
  <si>
    <t>.</t>
  </si>
  <si>
    <t>From 20.09.2019</t>
  </si>
  <si>
    <t>Amount paid Rs. 285000/- for Interest upto 15.04.2020</t>
  </si>
  <si>
    <t>10-03-2019 &amp; 17.04.2019</t>
  </si>
  <si>
    <t>*Interest Paid upto 15.04.2020</t>
  </si>
  <si>
    <t>Interest Outstanding From 20.09.2019</t>
  </si>
  <si>
    <t>10.10.2020</t>
  </si>
  <si>
    <t>15.01.2021</t>
  </si>
  <si>
    <t>10.04.2019</t>
  </si>
  <si>
    <t>1.07.2020</t>
  </si>
  <si>
    <t>Interest Upto 15/1/21</t>
  </si>
  <si>
    <t>Interest Upto 10/4/2020</t>
  </si>
  <si>
    <t>Due as on 10/4/20</t>
  </si>
  <si>
    <t>Interest Upto 30/6/20</t>
  </si>
  <si>
    <t>Due as on 30/6/20</t>
  </si>
  <si>
    <t>Payment made on 01/07/2020</t>
  </si>
  <si>
    <t>Total Due Previous Upto 15/1/2021</t>
  </si>
  <si>
    <t>Total Due Upto 15/1/2021</t>
  </si>
  <si>
    <t>SUBHASH KHARRA</t>
  </si>
  <si>
    <t>ANKIT RAR</t>
  </si>
  <si>
    <t>Surja Ram Dukiya 08.02.21</t>
  </si>
  <si>
    <t>MAHESH NITHARWAL</t>
  </si>
  <si>
    <t>JHABAR JI BHICHAR</t>
  </si>
  <si>
    <t>Net Due as on 20/2/2021</t>
  </si>
  <si>
    <t>Interest Upto 21/2/21</t>
  </si>
  <si>
    <t>Total Due Previous Upto 21/2/2021</t>
  </si>
  <si>
    <t>Total Due Upto 21/2/2021</t>
  </si>
  <si>
    <t>KULDEEP FILLING STATION</t>
  </si>
  <si>
    <t>TOTAL INTEREST</t>
  </si>
  <si>
    <t>AMOUNT PAID</t>
  </si>
  <si>
    <t>AMOUNT RECEIVED</t>
  </si>
  <si>
    <t>SUKHARAM JI DUKIYA</t>
  </si>
  <si>
    <t>TOTAL INTEREST OUTSTANDING</t>
  </si>
  <si>
    <t>LIKHMA RAM JI KARIR</t>
  </si>
  <si>
    <t>RADHAKISHAN JI MATASUKH</t>
  </si>
  <si>
    <t>BADRI LAL CHOUDHARY</t>
  </si>
  <si>
    <t>BHARATPUR PARTY</t>
  </si>
  <si>
    <t>PAID</t>
  </si>
  <si>
    <t>KOLKATA PARTY</t>
  </si>
  <si>
    <t>LAXMAN RAM KHADDA</t>
  </si>
  <si>
    <t>MAHARAJ JI</t>
  </si>
  <si>
    <t>New Hisab</t>
  </si>
  <si>
    <t>RATAN JI KIRDOLIYA</t>
  </si>
  <si>
    <t>SHAITAN SINGH DUKIYA</t>
  </si>
  <si>
    <t>ASURAM KIRDOLIYA - NEW HISAB</t>
  </si>
  <si>
    <t>Payments</t>
  </si>
  <si>
    <t>MAHENDRA JI OLA</t>
  </si>
  <si>
    <t>PAYMENTS INTEREST CALCULATION</t>
  </si>
  <si>
    <t>RECEIPTS INTEREST CALCULATION</t>
  </si>
  <si>
    <t>TOTAL INTEREST RECEIVABLE</t>
  </si>
  <si>
    <t>TOTAL PRINCIPAL PAID</t>
  </si>
  <si>
    <t>PAYMENT RECEIVED</t>
  </si>
  <si>
    <t>INTEREST PAYBLE</t>
  </si>
  <si>
    <t>TOTAL AMOUNT</t>
  </si>
  <si>
    <t>INTEREST RECEIVABLE</t>
  </si>
  <si>
    <t>NET PRINCIPLE O/S</t>
  </si>
  <si>
    <t>NET INTEREST O/S</t>
  </si>
  <si>
    <t>TOTAL PAYBLE AMOUNT</t>
  </si>
  <si>
    <t>OLA</t>
  </si>
  <si>
    <t>Receipts</t>
  </si>
  <si>
    <t>Upto March-18</t>
  </si>
  <si>
    <t xml:space="preserve">TOTAL </t>
  </si>
  <si>
    <t>Mode</t>
  </si>
  <si>
    <t>Bank</t>
  </si>
  <si>
    <t>Cash</t>
  </si>
  <si>
    <t>A/c Name</t>
  </si>
  <si>
    <t>In Naresh Kumar A/c</t>
  </si>
  <si>
    <t>RECEIPT DETAILS</t>
  </si>
  <si>
    <t>SUBHASH JI KHARRA</t>
  </si>
  <si>
    <t>PAYMENT DETAILS</t>
  </si>
  <si>
    <t>Total Receipt</t>
  </si>
  <si>
    <t>Paid By Naresh Kumar A/c</t>
  </si>
  <si>
    <t>Cash Received</t>
  </si>
  <si>
    <t>Cash Paid</t>
  </si>
  <si>
    <t>With Interest</t>
  </si>
  <si>
    <t>Raghunath Jat A/c</t>
  </si>
  <si>
    <t>Subhash Kharra A/c</t>
  </si>
  <si>
    <t>Om Prakash Paraswal A/c</t>
  </si>
  <si>
    <t>SUBHASH JI KHARRA NEW ENTRY</t>
  </si>
  <si>
    <t>Total Receipts</t>
  </si>
  <si>
    <t>Total Amount</t>
  </si>
  <si>
    <t>Total Payment &amp; Interest</t>
  </si>
  <si>
    <t>Balance Due</t>
  </si>
  <si>
    <t>AS PER SK</t>
  </si>
  <si>
    <t>Difference in Calculation</t>
  </si>
  <si>
    <t>Interest on Payments</t>
  </si>
  <si>
    <t>Interest on Receipts</t>
  </si>
  <si>
    <t>SK upto 15.12.2021</t>
  </si>
  <si>
    <t>PURAN JI KIRDOLIYA</t>
  </si>
  <si>
    <t>11.03.2018</t>
  </si>
  <si>
    <t>07.08.2021</t>
  </si>
  <si>
    <t>C &amp; B</t>
  </si>
  <si>
    <t>Receipt Date</t>
  </si>
  <si>
    <t>Receipt Amount</t>
  </si>
  <si>
    <t>Payment Date</t>
  </si>
  <si>
    <t>Payment Amount</t>
  </si>
  <si>
    <t>Total Principal &amp; Interest</t>
  </si>
  <si>
    <t>MISHRA JI</t>
  </si>
  <si>
    <t>Extra Paid</t>
  </si>
  <si>
    <t>22.01.2018</t>
  </si>
  <si>
    <t>22-01-18 to 22-1-19</t>
  </si>
  <si>
    <t>22-01-19 to 22-1-20</t>
  </si>
  <si>
    <t>22-01-21 to 22-1-22</t>
  </si>
  <si>
    <t>22-01-20 to 22-1-21</t>
  </si>
  <si>
    <t>Tenure</t>
  </si>
  <si>
    <t>19.01.2021</t>
  </si>
  <si>
    <t>03.02.2022</t>
  </si>
  <si>
    <t>15.03.2019</t>
  </si>
  <si>
    <t>19.04.2020</t>
  </si>
  <si>
    <t>Interest Payment Details</t>
  </si>
  <si>
    <t>Total Interest</t>
  </si>
  <si>
    <t>LAXMAN JI KHADDA</t>
  </si>
  <si>
    <t>23.08.2017</t>
  </si>
  <si>
    <t>03.08.2016</t>
  </si>
  <si>
    <t>23.07.2015</t>
  </si>
  <si>
    <t>31.07.2014</t>
  </si>
  <si>
    <t>01.08.14 to 31.07.15</t>
  </si>
  <si>
    <t>01.08.15 to 31.07.16</t>
  </si>
  <si>
    <t>01.08.16 to 31.07.17</t>
  </si>
  <si>
    <t>01.08.20 to 31.07.21</t>
  </si>
  <si>
    <t>12.03.2022 ( Interest paid upto 31.07.2021)</t>
  </si>
  <si>
    <t>30.08.2021</t>
  </si>
  <si>
    <t>19.09.2019</t>
  </si>
  <si>
    <t>19.09.2020</t>
  </si>
  <si>
    <t>Discount - 10000</t>
  </si>
  <si>
    <t>17-09-18 to 17-09-19</t>
  </si>
  <si>
    <t>17-09-19 to 17-09-20</t>
  </si>
  <si>
    <t>05.08.2021</t>
  </si>
  <si>
    <t>06.08.2021</t>
  </si>
  <si>
    <t>`</t>
  </si>
  <si>
    <t>15.12.2021</t>
  </si>
  <si>
    <t>10.11.2022</t>
  </si>
  <si>
    <t>SK upto 10.11.2022</t>
  </si>
  <si>
    <t>DHAYAL CONSTRUCTION COMPANY</t>
  </si>
  <si>
    <t>22.11.2022</t>
  </si>
  <si>
    <t>21.07.2022</t>
  </si>
  <si>
    <t>30.07.2022</t>
  </si>
  <si>
    <t>18.08.2022</t>
  </si>
  <si>
    <t>10.10.2022</t>
  </si>
  <si>
    <t>TATA HARRIER</t>
  </si>
  <si>
    <t>Recipts</t>
  </si>
  <si>
    <t>Debit for Harrier</t>
  </si>
  <si>
    <t>Net Amunt</t>
  </si>
  <si>
    <t>On Road Price</t>
  </si>
  <si>
    <t>Diesel &amp; Expenses</t>
  </si>
  <si>
    <t>Total Cost</t>
  </si>
  <si>
    <t>Purchase Date</t>
  </si>
  <si>
    <t>22.10.2022</t>
  </si>
  <si>
    <t>BHOJRAJ JI</t>
  </si>
  <si>
    <t>23.07.2019</t>
  </si>
  <si>
    <t>18.11.2022</t>
  </si>
  <si>
    <t>28.02.2023</t>
  </si>
  <si>
    <t>29.05.2015</t>
  </si>
  <si>
    <t>AS ON 20.04.2024</t>
  </si>
  <si>
    <t>01.08.2020</t>
  </si>
  <si>
    <t>TOTAL RECEIPTS WITH INTEREST</t>
  </si>
  <si>
    <t>TOTAL PAYMENTS WITH INTEREST</t>
  </si>
  <si>
    <t>NET PAYBLE AMOUNT</t>
  </si>
  <si>
    <t>NET PAYBLE AMOUNT UPTO 20.04.2024</t>
  </si>
  <si>
    <t>TOTAL INTEREST ON RECEIPTS</t>
  </si>
  <si>
    <t>TOTAL INTERST ON PAYMENTS</t>
  </si>
  <si>
    <t>29.08.2015</t>
  </si>
  <si>
    <t>Particulars</t>
  </si>
  <si>
    <t>Cash Receipt</t>
  </si>
  <si>
    <t>20.04.2024</t>
  </si>
  <si>
    <t>Interest on Payment- 01.08.20 to 20.04.24</t>
  </si>
  <si>
    <t>Interest on Receipts - 29.08.15 to 20.04.24</t>
  </si>
  <si>
    <t>Total Payments &amp; Interest on Payment</t>
  </si>
  <si>
    <t>Total Receipt &amp; Interest on Receipts</t>
  </si>
  <si>
    <t>SRL as on 20.04.2024</t>
  </si>
  <si>
    <t>Interest Calculation on Payments</t>
  </si>
  <si>
    <t>Interest Calculation on Receipts</t>
  </si>
  <si>
    <t>24.12.2022</t>
  </si>
  <si>
    <t>28.03.2024</t>
  </si>
  <si>
    <t>From Badrilal Ji A/c</t>
  </si>
  <si>
    <t>LESS : PAYMENTS</t>
  </si>
  <si>
    <t>BALANCE</t>
  </si>
  <si>
    <t>BRO WORK</t>
  </si>
  <si>
    <r>
      <t xml:space="preserve">TOTAL INTERST OUTSTANDING (Int. on Rec. </t>
    </r>
    <r>
      <rPr>
        <b/>
        <sz val="18"/>
        <color rgb="FFFF0000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Int. on Pay.)</t>
    </r>
  </si>
  <si>
    <t>22.11.2021</t>
  </si>
  <si>
    <t>05.12.2022</t>
  </si>
  <si>
    <t>TOTAL PAYABLE upto 24.06.2024</t>
  </si>
  <si>
    <t>21.09.2022</t>
  </si>
  <si>
    <t>28.09.2022</t>
  </si>
  <si>
    <t>31.08.2023</t>
  </si>
  <si>
    <t>TOTAL RECEIPTS</t>
  </si>
  <si>
    <t>10.12.2022</t>
  </si>
  <si>
    <t>05.07.2023</t>
  </si>
  <si>
    <t>17.07.2023</t>
  </si>
  <si>
    <t>24.01.2024</t>
  </si>
  <si>
    <t>TOTAL Payments</t>
  </si>
  <si>
    <t>28.07.2023</t>
  </si>
  <si>
    <t>15.11.2019</t>
  </si>
  <si>
    <t>30.06.2020</t>
  </si>
  <si>
    <t>07.09.2021</t>
  </si>
  <si>
    <t>12.02.2021</t>
  </si>
  <si>
    <t>15.02.2021</t>
  </si>
  <si>
    <t>23.03.2021</t>
  </si>
  <si>
    <t>10.12.2021</t>
  </si>
  <si>
    <t>04.04.2022</t>
  </si>
  <si>
    <t>11.11.2022</t>
  </si>
  <si>
    <t>26.10.2023</t>
  </si>
  <si>
    <t>26.10.2024</t>
  </si>
  <si>
    <t>20.11.2024</t>
  </si>
  <si>
    <t>22.11.2023</t>
  </si>
  <si>
    <t>24.11.2023</t>
  </si>
  <si>
    <t>27.11.2023</t>
  </si>
  <si>
    <t>01.12.2023</t>
  </si>
  <si>
    <t>04.12.2023</t>
  </si>
  <si>
    <t>16.12.2023</t>
  </si>
  <si>
    <t>SK upto 13.12.2024</t>
  </si>
  <si>
    <t>03.09.2024</t>
  </si>
  <si>
    <t>04.09.2024</t>
  </si>
  <si>
    <t>22.08.2023</t>
  </si>
  <si>
    <t>LIKHMA RAM JI KARIR - 28.02.2023</t>
  </si>
  <si>
    <t>LIKHMA RAM JI KARIR - 13.12.2024</t>
  </si>
  <si>
    <t>01.11.2023</t>
  </si>
  <si>
    <t>Old Interest O/s</t>
  </si>
  <si>
    <t xml:space="preserve"> </t>
  </si>
  <si>
    <t>13.09.2023</t>
  </si>
  <si>
    <t>SUBHASH JI KHARRA - OLD - 22.11.2023</t>
  </si>
  <si>
    <t>Shree Shyam Homes</t>
  </si>
  <si>
    <t>Subhash Kharra</t>
  </si>
  <si>
    <t>13.12.2022</t>
  </si>
  <si>
    <t>30.03.2022</t>
  </si>
  <si>
    <t>17.09.2018</t>
  </si>
  <si>
    <t>RADHAKISHAN JI MATASUKH - Bank Entry</t>
  </si>
  <si>
    <t xml:space="preserve">RADHAKISHAN JI MATASUKH </t>
  </si>
  <si>
    <t>TOTAL Outstanding</t>
  </si>
  <si>
    <t>22-01-22 to 22-1-23</t>
  </si>
  <si>
    <t>01.03.2023</t>
  </si>
  <si>
    <t>22-01-23 to 22-1-24</t>
  </si>
  <si>
    <t>From Home</t>
  </si>
  <si>
    <t>( Interest paid upto 22.01.2024)</t>
  </si>
  <si>
    <t>RADHAKISHAN JI MATASUKH - New Entry</t>
  </si>
  <si>
    <t>25.12.2024</t>
  </si>
  <si>
    <t>Entry Given to Pradeep Ji Khichar on 25.12.24 to 29.01.25 (Interest Paid - 1,08,164/- on 29.01.25)</t>
  </si>
  <si>
    <t>24.12.2024</t>
  </si>
  <si>
    <t>07.03.2025</t>
  </si>
  <si>
    <t>30.12.2024</t>
  </si>
  <si>
    <t>TOTAL PAID</t>
  </si>
  <si>
    <t>BALANCE PAYABLE</t>
  </si>
  <si>
    <t>21.03.2025</t>
  </si>
  <si>
    <t>20.01.2023</t>
  </si>
  <si>
    <t>PR Kirdoliya</t>
  </si>
  <si>
    <t>01.10.2024</t>
  </si>
  <si>
    <t>01.11.2024</t>
  </si>
  <si>
    <t>TOTAL PAID ON 02.04.2025</t>
  </si>
  <si>
    <t>17.04.2025</t>
  </si>
  <si>
    <t>21.04.2025</t>
  </si>
  <si>
    <t>23.04.2025</t>
  </si>
  <si>
    <t>INTEREST ON PAYMENT</t>
  </si>
  <si>
    <t>02.04.2025</t>
  </si>
  <si>
    <t>INTEREST ON PAYMENTS</t>
  </si>
  <si>
    <t>S</t>
  </si>
  <si>
    <t>Total Interest Payble</t>
  </si>
  <si>
    <t>Total Interest Receivable</t>
  </si>
  <si>
    <t>Total Principle O/s</t>
  </si>
  <si>
    <t>Total Interest O/s</t>
  </si>
  <si>
    <t>Total Receivable Amount</t>
  </si>
  <si>
    <t>09.04.2025</t>
  </si>
  <si>
    <t>04.08.2025</t>
  </si>
  <si>
    <t>01.12.2025</t>
  </si>
  <si>
    <t>29.12.2025</t>
  </si>
  <si>
    <t>Received</t>
  </si>
  <si>
    <t>20.03.2025</t>
  </si>
  <si>
    <t>06.02.2026</t>
  </si>
  <si>
    <r>
      <t>Interest on</t>
    </r>
    <r>
      <rPr>
        <b/>
        <sz val="11"/>
        <color rgb="FF00B050"/>
        <rFont val="Calibri"/>
        <family val="2"/>
        <scheme val="minor"/>
      </rPr>
      <t xml:space="preserve"> 50 Lacs</t>
    </r>
    <r>
      <rPr>
        <sz val="11"/>
        <color theme="1"/>
        <rFont val="Calibri"/>
        <family val="2"/>
        <scheme val="minor"/>
      </rPr>
      <t xml:space="preserve"> from 20.03.25 to 20.10.25</t>
    </r>
  </si>
  <si>
    <t>Payable upto Date (With Interest)</t>
  </si>
  <si>
    <t>20.10.2025</t>
  </si>
  <si>
    <t>09.02.2026</t>
  </si>
  <si>
    <t>BR upto 06.03.26</t>
  </si>
  <si>
    <r>
      <t xml:space="preserve">Interest on </t>
    </r>
    <r>
      <rPr>
        <b/>
        <sz val="11"/>
        <color rgb="FF00B050"/>
        <rFont val="Calibri"/>
        <family val="2"/>
        <scheme val="minor"/>
      </rPr>
      <t>10 Lacs</t>
    </r>
    <r>
      <rPr>
        <sz val="11"/>
        <color theme="1"/>
        <rFont val="Calibri"/>
        <family val="2"/>
        <scheme val="minor"/>
      </rPr>
      <t xml:space="preserve"> from 20.10.25 to 18.03.26</t>
    </r>
  </si>
  <si>
    <t>Interest Rate</t>
  </si>
  <si>
    <t>23.03.2026</t>
  </si>
  <si>
    <t>26.03.2026</t>
  </si>
  <si>
    <t>Total Outstanding</t>
  </si>
  <si>
    <t>Payments :</t>
  </si>
  <si>
    <t>HANUMAN STONE CRUSHER</t>
  </si>
  <si>
    <t>Principle Amount</t>
  </si>
  <si>
    <t>Gross Total</t>
  </si>
  <si>
    <t>31.03.2026</t>
  </si>
  <si>
    <t>Ramgarh Entry</t>
  </si>
  <si>
    <t>MK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</si>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</sst>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28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10" fontId="0" fillId="0" borderId="1" xfId="0" applyNumberFormat="1" applyBorder="1"/>
    <xf numFmtId="1" fontId="0" fillId="0" borderId="1" xfId="0" applyNumberFormat="1" applyBorder="1"/>
    <xf numFmtId="0" fontId="0" fillId="0" borderId="0" xfId="0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0" fillId="0" borderId="0" xfId="0" applyNumberFormat="1"/>
    <xf numFmtId="2" fontId="1" fillId="0" borderId="1" xfId="0" applyNumberFormat="1" applyFon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" fontId="1" fillId="2" borderId="9" xfId="0" applyNumberFormat="1" applyFont="1" applyFill="1" applyBorder="1"/>
    <xf numFmtId="1" fontId="1" fillId="2" borderId="10" xfId="0" applyNumberFormat="1" applyFont="1" applyFill="1" applyBorder="1"/>
    <xf numFmtId="1" fontId="1" fillId="2" borderId="11" xfId="0" applyNumberFormat="1" applyFont="1" applyFill="1" applyBorder="1"/>
    <xf numFmtId="0" fontId="1" fillId="2" borderId="11" xfId="0" applyFont="1" applyFill="1" applyBorder="1"/>
    <xf numFmtId="0" fontId="0" fillId="2" borderId="10" xfId="0" applyFill="1" applyBorder="1"/>
    <xf numFmtId="0" fontId="0" fillId="2" borderId="11" xfId="0" applyFill="1" applyBorder="1"/>
    <xf numFmtId="1" fontId="0" fillId="2" borderId="10" xfId="0" applyNumberFormat="1" applyFill="1" applyBorder="1"/>
    <xf numFmtId="1" fontId="1" fillId="2" borderId="5" xfId="0" applyNumberFormat="1" applyFont="1" applyFill="1" applyBorder="1"/>
    <xf numFmtId="1" fontId="1" fillId="2" borderId="6" xfId="0" applyNumberFormat="1" applyFont="1" applyFill="1" applyBorder="1"/>
    <xf numFmtId="1" fontId="3" fillId="0" borderId="0" xfId="0" applyNumberFormat="1" applyFont="1"/>
    <xf numFmtId="14" fontId="0" fillId="0" borderId="0" xfId="0" applyNumberFormat="1" applyAlignment="1">
      <alignment horizontal="center"/>
    </xf>
    <xf numFmtId="1" fontId="1" fillId="2" borderId="0" xfId="0" applyNumberFormat="1" applyFont="1" applyFill="1"/>
    <xf numFmtId="0" fontId="0" fillId="2" borderId="0" xfId="0" applyFill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right"/>
    </xf>
    <xf numFmtId="9" fontId="0" fillId="0" borderId="1" xfId="0" applyNumberFormat="1" applyBorder="1" applyAlignment="1">
      <alignment horizontal="center"/>
    </xf>
    <xf numFmtId="14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left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" fontId="0" fillId="2" borderId="11" xfId="0" applyNumberFormat="1" applyFill="1" applyBorder="1"/>
    <xf numFmtId="1" fontId="1" fillId="2" borderId="12" xfId="0" applyNumberFormat="1" applyFont="1" applyFill="1" applyBorder="1"/>
    <xf numFmtId="1" fontId="0" fillId="0" borderId="1" xfId="0" applyNumberFormat="1" applyBorder="1" applyAlignment="1">
      <alignment horizontal="center"/>
    </xf>
    <xf numFmtId="1" fontId="1" fillId="2" borderId="1" xfId="0" applyNumberFormat="1" applyFont="1" applyFill="1" applyBorder="1"/>
    <xf numFmtId="165" fontId="0" fillId="0" borderId="1" xfId="1" applyNumberFormat="1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/>
    <xf numFmtId="165" fontId="0" fillId="0" borderId="1" xfId="1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0" fillId="2" borderId="1" xfId="0" applyNumberFormat="1" applyFill="1" applyBorder="1"/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0" fillId="0" borderId="0" xfId="0" applyNumberFormat="1"/>
    <xf numFmtId="1" fontId="0" fillId="2" borderId="14" xfId="0" applyNumberFormat="1" applyFill="1" applyBorder="1"/>
    <xf numFmtId="1" fontId="0" fillId="2" borderId="15" xfId="0" applyNumberFormat="1" applyFill="1" applyBorder="1"/>
    <xf numFmtId="0" fontId="0" fillId="2" borderId="16" xfId="0" applyFill="1" applyBorder="1"/>
    <xf numFmtId="1" fontId="1" fillId="2" borderId="8" xfId="0" applyNumberFormat="1" applyFont="1" applyFill="1" applyBorder="1"/>
    <xf numFmtId="1" fontId="1" fillId="2" borderId="13" xfId="0" applyNumberFormat="1" applyFont="1" applyFill="1" applyBorder="1"/>
    <xf numFmtId="1" fontId="0" fillId="2" borderId="9" xfId="0" applyNumberFormat="1" applyFill="1" applyBorder="1"/>
    <xf numFmtId="1" fontId="7" fillId="0" borderId="1" xfId="0" applyNumberFormat="1" applyFont="1" applyBorder="1"/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8" xfId="0" applyBorder="1"/>
    <xf numFmtId="14" fontId="0" fillId="0" borderId="17" xfId="0" applyNumberFormat="1" applyBorder="1" applyAlignment="1">
      <alignment horizontal="center"/>
    </xf>
    <xf numFmtId="1" fontId="0" fillId="0" borderId="18" xfId="0" applyNumberFormat="1" applyBorder="1"/>
    <xf numFmtId="2" fontId="0" fillId="0" borderId="17" xfId="0" applyNumberFormat="1" applyBorder="1" applyAlignment="1">
      <alignment horizontal="center"/>
    </xf>
    <xf numFmtId="1" fontId="1" fillId="0" borderId="18" xfId="0" applyNumberFormat="1" applyFont="1" applyBorder="1"/>
    <xf numFmtId="0" fontId="1" fillId="0" borderId="19" xfId="0" applyFont="1" applyBorder="1" applyAlignment="1">
      <alignment horizontal="center"/>
    </xf>
    <xf numFmtId="1" fontId="1" fillId="2" borderId="23" xfId="0" applyNumberFormat="1" applyFont="1" applyFill="1" applyBorder="1"/>
    <xf numFmtId="0" fontId="1" fillId="0" borderId="24" xfId="0" applyFont="1" applyBorder="1"/>
    <xf numFmtId="1" fontId="0" fillId="0" borderId="0" xfId="0" applyNumberFormat="1" applyAlignment="1">
      <alignment horizontal="righ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" fontId="1" fillId="2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" fontId="1" fillId="0" borderId="3" xfId="0" applyNumberFormat="1" applyFont="1" applyBorder="1"/>
    <xf numFmtId="14" fontId="0" fillId="0" borderId="17" xfId="0" applyNumberFormat="1" applyBorder="1" applyAlignment="1">
      <alignment horizontal="center" wrapText="1"/>
    </xf>
    <xf numFmtId="0" fontId="0" fillId="0" borderId="10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0" fillId="0" borderId="11" xfId="0" applyBorder="1"/>
    <xf numFmtId="0" fontId="0" fillId="0" borderId="19" xfId="0" applyBorder="1" applyAlignment="1">
      <alignment horizontal="center"/>
    </xf>
    <xf numFmtId="0" fontId="0" fillId="0" borderId="24" xfId="0" applyBorder="1"/>
    <xf numFmtId="1" fontId="1" fillId="2" borderId="18" xfId="0" applyNumberFormat="1" applyFont="1" applyFill="1" applyBorder="1"/>
    <xf numFmtId="0" fontId="0" fillId="0" borderId="7" xfId="0" applyBorder="1" applyAlignment="1">
      <alignment horizontal="center"/>
    </xf>
    <xf numFmtId="0" fontId="1" fillId="0" borderId="31" xfId="0" applyFont="1" applyBorder="1"/>
    <xf numFmtId="0" fontId="1" fillId="0" borderId="5" xfId="0" applyFont="1" applyBorder="1"/>
    <xf numFmtId="1" fontId="1" fillId="0" borderId="31" xfId="0" applyNumberFormat="1" applyFont="1" applyBorder="1"/>
    <xf numFmtId="0" fontId="1" fillId="0" borderId="6" xfId="0" applyFont="1" applyBorder="1"/>
    <xf numFmtId="14" fontId="0" fillId="0" borderId="7" xfId="0" applyNumberFormat="1" applyBorder="1" applyAlignment="1">
      <alignment horizontal="center"/>
    </xf>
    <xf numFmtId="1" fontId="1" fillId="0" borderId="7" xfId="0" applyNumberFormat="1" applyFont="1" applyBorder="1"/>
    <xf numFmtId="1" fontId="0" fillId="0" borderId="7" xfId="0" applyNumberFormat="1" applyBorder="1"/>
    <xf numFmtId="14" fontId="0" fillId="0" borderId="34" xfId="0" applyNumberFormat="1" applyBorder="1" applyAlignment="1">
      <alignment horizontal="center"/>
    </xf>
    <xf numFmtId="1" fontId="1" fillId="0" borderId="38" xfId="0" applyNumberFormat="1" applyFont="1" applyBorder="1"/>
    <xf numFmtId="1" fontId="0" fillId="0" borderId="39" xfId="0" applyNumberFormat="1" applyBorder="1"/>
    <xf numFmtId="1" fontId="1" fillId="2" borderId="43" xfId="0" applyNumberFormat="1" applyFont="1" applyFill="1" applyBorder="1"/>
    <xf numFmtId="0" fontId="1" fillId="0" borderId="40" xfId="0" applyFont="1" applyBorder="1" applyAlignment="1">
      <alignment horizontal="center"/>
    </xf>
    <xf numFmtId="0" fontId="1" fillId="0" borderId="44" xfId="0" applyFont="1" applyBorder="1"/>
    <xf numFmtId="1" fontId="0" fillId="0" borderId="3" xfId="0" applyNumberForma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10" fontId="1" fillId="0" borderId="1" xfId="0" applyNumberFormat="1" applyFont="1" applyBorder="1"/>
    <xf numFmtId="1" fontId="0" fillId="0" borderId="45" xfId="0" applyNumberFormat="1" applyBorder="1"/>
    <xf numFmtId="0" fontId="0" fillId="0" borderId="39" xfId="0" applyBorder="1"/>
    <xf numFmtId="0" fontId="0" fillId="0" borderId="46" xfId="0" applyBorder="1"/>
    <xf numFmtId="1" fontId="1" fillId="0" borderId="44" xfId="0" applyNumberFormat="1" applyFont="1" applyBorder="1"/>
    <xf numFmtId="0" fontId="1" fillId="0" borderId="47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1" fillId="4" borderId="1" xfId="0" applyFont="1" applyFill="1" applyBorder="1"/>
    <xf numFmtId="1" fontId="1" fillId="4" borderId="1" xfId="0" applyNumberFormat="1" applyFont="1" applyFill="1" applyBorder="1"/>
    <xf numFmtId="0" fontId="8" fillId="0" borderId="0" xfId="0" applyFont="1"/>
    <xf numFmtId="165" fontId="1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4" fontId="0" fillId="0" borderId="38" xfId="0" applyNumberFormat="1" applyBorder="1" applyAlignment="1">
      <alignment horizontal="center"/>
    </xf>
    <xf numFmtId="14" fontId="0" fillId="0" borderId="38" xfId="0" applyNumberFormat="1" applyBorder="1"/>
    <xf numFmtId="165" fontId="0" fillId="0" borderId="38" xfId="1" applyNumberFormat="1" applyFont="1" applyBorder="1" applyAlignment="1">
      <alignment horizontal="center"/>
    </xf>
    <xf numFmtId="10" fontId="0" fillId="0" borderId="38" xfId="0" applyNumberFormat="1" applyBorder="1"/>
    <xf numFmtId="1" fontId="0" fillId="0" borderId="38" xfId="0" applyNumberFormat="1" applyBorder="1"/>
    <xf numFmtId="14" fontId="0" fillId="0" borderId="49" xfId="0" applyNumberFormat="1" applyBorder="1" applyAlignment="1">
      <alignment horizontal="center"/>
    </xf>
    <xf numFmtId="1" fontId="0" fillId="0" borderId="25" xfId="0" applyNumberFormat="1" applyBorder="1"/>
    <xf numFmtId="14" fontId="0" fillId="0" borderId="25" xfId="0" applyNumberFormat="1" applyBorder="1" applyAlignment="1">
      <alignment horizontal="center"/>
    </xf>
    <xf numFmtId="14" fontId="0" fillId="0" borderId="25" xfId="0" applyNumberFormat="1" applyBorder="1"/>
    <xf numFmtId="165" fontId="0" fillId="0" borderId="25" xfId="1" applyNumberFormat="1" applyFont="1" applyBorder="1" applyAlignment="1">
      <alignment horizontal="center"/>
    </xf>
    <xf numFmtId="10" fontId="0" fillId="0" borderId="25" xfId="0" applyNumberFormat="1" applyBorder="1"/>
    <xf numFmtId="1" fontId="0" fillId="0" borderId="46" xfId="0" applyNumberFormat="1" applyBorder="1"/>
    <xf numFmtId="14" fontId="5" fillId="0" borderId="40" xfId="0" applyNumberFormat="1" applyFont="1" applyBorder="1" applyAlignment="1">
      <alignment horizontal="center" wrapText="1"/>
    </xf>
    <xf numFmtId="1" fontId="5" fillId="0" borderId="43" xfId="0" applyNumberFormat="1" applyFont="1" applyBorder="1"/>
    <xf numFmtId="14" fontId="8" fillId="0" borderId="43" xfId="0" applyNumberFormat="1" applyFont="1" applyBorder="1" applyAlignment="1">
      <alignment horizontal="center"/>
    </xf>
    <xf numFmtId="14" fontId="8" fillId="0" borderId="43" xfId="0" applyNumberFormat="1" applyFont="1" applyBorder="1"/>
    <xf numFmtId="165" fontId="8" fillId="0" borderId="43" xfId="1" applyNumberFormat="1" applyFont="1" applyBorder="1" applyAlignment="1">
      <alignment horizontal="center"/>
    </xf>
    <xf numFmtId="10" fontId="8" fillId="0" borderId="43" xfId="0" applyNumberFormat="1" applyFont="1" applyBorder="1"/>
    <xf numFmtId="1" fontId="5" fillId="0" borderId="44" xfId="0" applyNumberFormat="1" applyFont="1" applyBorder="1"/>
    <xf numFmtId="14" fontId="5" fillId="0" borderId="50" xfId="0" applyNumberFormat="1" applyFont="1" applyBorder="1" applyAlignment="1">
      <alignment horizontal="center" wrapText="1"/>
    </xf>
    <xf numFmtId="1" fontId="5" fillId="0" borderId="26" xfId="0" applyNumberFormat="1" applyFont="1" applyBorder="1"/>
    <xf numFmtId="14" fontId="8" fillId="0" borderId="26" xfId="0" applyNumberFormat="1" applyFont="1" applyBorder="1" applyAlignment="1">
      <alignment horizontal="center"/>
    </xf>
    <xf numFmtId="14" fontId="8" fillId="0" borderId="26" xfId="0" applyNumberFormat="1" applyFont="1" applyBorder="1"/>
    <xf numFmtId="165" fontId="8" fillId="0" borderId="26" xfId="1" applyNumberFormat="1" applyFont="1" applyBorder="1" applyAlignment="1">
      <alignment horizontal="center"/>
    </xf>
    <xf numFmtId="10" fontId="8" fillId="0" borderId="26" xfId="0" applyNumberFormat="1" applyFont="1" applyBorder="1"/>
    <xf numFmtId="1" fontId="5" fillId="0" borderId="51" xfId="0" applyNumberFormat="1" applyFont="1" applyBorder="1"/>
    <xf numFmtId="1" fontId="2" fillId="4" borderId="52" xfId="0" applyNumberFormat="1" applyFont="1" applyFill="1" applyBorder="1"/>
    <xf numFmtId="0" fontId="0" fillId="0" borderId="25" xfId="0" applyBorder="1"/>
    <xf numFmtId="0" fontId="1" fillId="0" borderId="40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0" fillId="0" borderId="17" xfId="0" applyBorder="1"/>
    <xf numFmtId="0" fontId="0" fillId="0" borderId="19" xfId="0" applyBorder="1"/>
    <xf numFmtId="0" fontId="0" fillId="0" borderId="23" xfId="0" applyBorder="1"/>
    <xf numFmtId="0" fontId="0" fillId="0" borderId="38" xfId="0" applyBorder="1"/>
    <xf numFmtId="0" fontId="1" fillId="0" borderId="43" xfId="0" applyFont="1" applyBorder="1"/>
    <xf numFmtId="14" fontId="0" fillId="0" borderId="47" xfId="0" applyNumberFormat="1" applyBorder="1" applyAlignment="1">
      <alignment horizontal="center"/>
    </xf>
    <xf numFmtId="0" fontId="0" fillId="0" borderId="48" xfId="0" applyBorder="1"/>
    <xf numFmtId="0" fontId="0" fillId="0" borderId="45" xfId="0" applyBorder="1"/>
    <xf numFmtId="0" fontId="0" fillId="0" borderId="34" xfId="0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5" borderId="43" xfId="0" applyFont="1" applyFill="1" applyBorder="1"/>
    <xf numFmtId="0" fontId="1" fillId="5" borderId="44" xfId="0" applyFont="1" applyFill="1" applyBorder="1"/>
    <xf numFmtId="0" fontId="1" fillId="6" borderId="54" xfId="0" applyFont="1" applyFill="1" applyBorder="1" applyAlignment="1">
      <alignment horizontal="center"/>
    </xf>
    <xf numFmtId="0" fontId="1" fillId="6" borderId="55" xfId="0" applyFont="1" applyFill="1" applyBorder="1"/>
    <xf numFmtId="0" fontId="1" fillId="6" borderId="52" xfId="0" applyFont="1" applyFill="1" applyBorder="1"/>
    <xf numFmtId="0" fontId="1" fillId="6" borderId="40" xfId="0" applyFont="1" applyFill="1" applyBorder="1" applyAlignment="1">
      <alignment horizontal="center"/>
    </xf>
    <xf numFmtId="0" fontId="1" fillId="6" borderId="43" xfId="0" applyFont="1" applyFill="1" applyBorder="1"/>
    <xf numFmtId="0" fontId="1" fillId="6" borderId="44" xfId="0" applyFont="1" applyFill="1" applyBorder="1"/>
    <xf numFmtId="0" fontId="1" fillId="6" borderId="40" xfId="0" applyFont="1" applyFill="1" applyBorder="1" applyAlignment="1">
      <alignment horizontal="center" wrapText="1"/>
    </xf>
    <xf numFmtId="0" fontId="1" fillId="6" borderId="43" xfId="0" applyFont="1" applyFill="1" applyBorder="1" applyAlignment="1">
      <alignment horizontal="center" wrapText="1"/>
    </xf>
    <xf numFmtId="0" fontId="1" fillId="6" borderId="44" xfId="0" applyFont="1" applyFill="1" applyBorder="1" applyAlignment="1">
      <alignment horizontal="center" wrapText="1"/>
    </xf>
    <xf numFmtId="14" fontId="0" fillId="6" borderId="17" xfId="0" applyNumberFormat="1" applyFill="1" applyBorder="1"/>
    <xf numFmtId="0" fontId="0" fillId="6" borderId="1" xfId="0" applyFill="1" applyBorder="1"/>
    <xf numFmtId="0" fontId="0" fillId="6" borderId="18" xfId="0" applyFill="1" applyBorder="1"/>
    <xf numFmtId="14" fontId="0" fillId="6" borderId="34" xfId="0" applyNumberFormat="1" applyFill="1" applyBorder="1"/>
    <xf numFmtId="0" fontId="0" fillId="6" borderId="38" xfId="0" applyFill="1" applyBorder="1"/>
    <xf numFmtId="0" fontId="0" fillId="6" borderId="39" xfId="0" applyFill="1" applyBorder="1"/>
    <xf numFmtId="14" fontId="1" fillId="6" borderId="40" xfId="0" applyNumberFormat="1" applyFont="1" applyFill="1" applyBorder="1"/>
    <xf numFmtId="14" fontId="0" fillId="6" borderId="50" xfId="0" applyNumberFormat="1" applyFill="1" applyBorder="1"/>
    <xf numFmtId="0" fontId="0" fillId="6" borderId="26" xfId="0" applyFill="1" applyBorder="1"/>
    <xf numFmtId="0" fontId="0" fillId="6" borderId="51" xfId="0" applyFill="1" applyBorder="1"/>
    <xf numFmtId="0" fontId="0" fillId="6" borderId="50" xfId="0" applyFill="1" applyBorder="1"/>
    <xf numFmtId="0" fontId="0" fillId="6" borderId="40" xfId="0" applyFill="1" applyBorder="1"/>
    <xf numFmtId="0" fontId="0" fillId="6" borderId="44" xfId="0" applyFill="1" applyBorder="1"/>
    <xf numFmtId="0" fontId="1" fillId="0" borderId="17" xfId="0" applyFon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" fontId="1" fillId="0" borderId="15" xfId="0" applyNumberFormat="1" applyFont="1" applyBorder="1"/>
    <xf numFmtId="1" fontId="0" fillId="0" borderId="16" xfId="0" applyNumberFormat="1" applyBorder="1"/>
    <xf numFmtId="1" fontId="1" fillId="0" borderId="39" xfId="0" applyNumberFormat="1" applyFont="1" applyBorder="1"/>
    <xf numFmtId="2" fontId="0" fillId="0" borderId="40" xfId="0" applyNumberFormat="1" applyBorder="1" applyAlignment="1">
      <alignment horizontal="center"/>
    </xf>
    <xf numFmtId="14" fontId="0" fillId="0" borderId="43" xfId="0" applyNumberFormat="1" applyBorder="1"/>
    <xf numFmtId="2" fontId="0" fillId="0" borderId="43" xfId="0" applyNumberFormat="1" applyBorder="1"/>
    <xf numFmtId="10" fontId="0" fillId="0" borderId="43" xfId="0" applyNumberFormat="1" applyBorder="1"/>
    <xf numFmtId="1" fontId="0" fillId="0" borderId="44" xfId="0" applyNumberFormat="1" applyBorder="1"/>
    <xf numFmtId="0" fontId="1" fillId="0" borderId="4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8" borderId="40" xfId="0" applyFont="1" applyFill="1" applyBorder="1" applyAlignment="1">
      <alignment horizontal="center"/>
    </xf>
    <xf numFmtId="0" fontId="1" fillId="8" borderId="44" xfId="0" applyFont="1" applyFill="1" applyBorder="1"/>
    <xf numFmtId="10" fontId="0" fillId="0" borderId="1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1" fillId="0" borderId="43" xfId="0" applyNumberFormat="1" applyFont="1" applyBorder="1" applyAlignment="1">
      <alignment horizontal="center"/>
    </xf>
    <xf numFmtId="14" fontId="0" fillId="0" borderId="43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10" fontId="0" fillId="0" borderId="43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1" fontId="1" fillId="2" borderId="43" xfId="0" applyNumberFormat="1" applyFont="1" applyFill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40" xfId="0" applyFont="1" applyBorder="1"/>
    <xf numFmtId="1" fontId="1" fillId="2" borderId="44" xfId="0" applyNumberFormat="1" applyFont="1" applyFill="1" applyBorder="1"/>
    <xf numFmtId="0" fontId="0" fillId="0" borderId="49" xfId="0" applyBorder="1"/>
    <xf numFmtId="0" fontId="0" fillId="0" borderId="34" xfId="0" applyBorder="1"/>
    <xf numFmtId="0" fontId="0" fillId="0" borderId="50" xfId="0" applyBorder="1"/>
    <xf numFmtId="0" fontId="0" fillId="0" borderId="51" xfId="0" applyBorder="1"/>
    <xf numFmtId="1" fontId="1" fillId="4" borderId="0" xfId="0" applyNumberFormat="1" applyFont="1" applyFill="1"/>
    <xf numFmtId="0" fontId="1" fillId="4" borderId="0" xfId="0" applyFont="1" applyFill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23" xfId="0" applyFont="1" applyBorder="1"/>
    <xf numFmtId="0" fontId="0" fillId="0" borderId="0" xfId="0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17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0" fillId="0" borderId="10" xfId="0" applyBorder="1"/>
    <xf numFmtId="10" fontId="0" fillId="0" borderId="38" xfId="0" applyNumberFormat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9" xfId="0" applyFont="1" applyBorder="1"/>
    <xf numFmtId="1" fontId="8" fillId="0" borderId="46" xfId="0" applyNumberFormat="1" applyFont="1" applyBorder="1"/>
    <xf numFmtId="0" fontId="8" fillId="0" borderId="17" xfId="0" applyFont="1" applyBorder="1"/>
    <xf numFmtId="1" fontId="8" fillId="0" borderId="18" xfId="0" applyNumberFormat="1" applyFont="1" applyBorder="1"/>
    <xf numFmtId="0" fontId="8" fillId="0" borderId="34" xfId="0" applyFont="1" applyBorder="1"/>
    <xf numFmtId="0" fontId="8" fillId="0" borderId="39" xfId="0" applyFont="1" applyBorder="1"/>
    <xf numFmtId="0" fontId="5" fillId="0" borderId="40" xfId="0" applyFont="1" applyBorder="1"/>
    <xf numFmtId="0" fontId="8" fillId="0" borderId="46" xfId="0" applyFont="1" applyBorder="1"/>
    <xf numFmtId="1" fontId="8" fillId="0" borderId="0" xfId="0" applyNumberFormat="1" applyFont="1"/>
    <xf numFmtId="0" fontId="8" fillId="0" borderId="50" xfId="0" applyFont="1" applyBorder="1"/>
    <xf numFmtId="0" fontId="8" fillId="0" borderId="51" xfId="0" applyFont="1" applyBorder="1"/>
    <xf numFmtId="1" fontId="5" fillId="2" borderId="44" xfId="0" applyNumberFormat="1" applyFont="1" applyFill="1" applyBorder="1"/>
    <xf numFmtId="0" fontId="5" fillId="8" borderId="40" xfId="0" applyFont="1" applyFill="1" applyBorder="1" applyAlignment="1">
      <alignment horizontal="center"/>
    </xf>
    <xf numFmtId="1" fontId="5" fillId="2" borderId="43" xfId="0" applyNumberFormat="1" applyFont="1" applyFill="1" applyBorder="1" applyAlignment="1">
      <alignment horizontal="center"/>
    </xf>
    <xf numFmtId="0" fontId="5" fillId="8" borderId="44" xfId="0" applyFont="1" applyFill="1" applyBorder="1"/>
    <xf numFmtId="2" fontId="8" fillId="0" borderId="40" xfId="0" applyNumberFormat="1" applyFont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2" fontId="8" fillId="0" borderId="43" xfId="0" applyNumberFormat="1" applyFont="1" applyBorder="1" applyAlignment="1">
      <alignment horizontal="center"/>
    </xf>
    <xf numFmtId="10" fontId="8" fillId="0" borderId="43" xfId="0" applyNumberFormat="1" applyFont="1" applyBorder="1" applyAlignment="1">
      <alignment horizontal="center"/>
    </xf>
    <xf numFmtId="1" fontId="8" fillId="0" borderId="44" xfId="0" applyNumberFormat="1" applyFon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0" borderId="44" xfId="0" applyFont="1" applyBorder="1" applyAlignment="1">
      <alignment horizontal="center"/>
    </xf>
    <xf numFmtId="14" fontId="1" fillId="0" borderId="49" xfId="0" applyNumberFormat="1" applyFont="1" applyBorder="1" applyAlignment="1">
      <alignment horizontal="center"/>
    </xf>
    <xf numFmtId="2" fontId="0" fillId="0" borderId="25" xfId="0" applyNumberFormat="1" applyBorder="1"/>
    <xf numFmtId="2" fontId="1" fillId="0" borderId="34" xfId="0" applyNumberFormat="1" applyFont="1" applyBorder="1" applyAlignment="1">
      <alignment horizontal="center"/>
    </xf>
    <xf numFmtId="2" fontId="0" fillId="0" borderId="38" xfId="0" applyNumberFormat="1" applyBorder="1"/>
    <xf numFmtId="1" fontId="1" fillId="0" borderId="43" xfId="0" applyNumberFormat="1" applyFont="1" applyBorder="1"/>
    <xf numFmtId="10" fontId="1" fillId="0" borderId="1" xfId="0" applyNumberFormat="1" applyFont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17" xfId="0" applyNumberFormat="1" applyBorder="1"/>
    <xf numFmtId="1" fontId="1" fillId="0" borderId="17" xfId="0" applyNumberFormat="1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5" fillId="0" borderId="0" xfId="0" applyFont="1"/>
    <xf numFmtId="1" fontId="5" fillId="0" borderId="40" xfId="0" applyNumberFormat="1" applyFont="1" applyBorder="1" applyAlignment="1">
      <alignment horizontal="center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1" fillId="0" borderId="48" xfId="0" applyFont="1" applyBorder="1" applyAlignment="1">
      <alignment horizontal="center"/>
    </xf>
    <xf numFmtId="1" fontId="5" fillId="0" borderId="34" xfId="0" applyNumberFormat="1" applyFont="1" applyBorder="1" applyAlignment="1">
      <alignment horizontal="center"/>
    </xf>
    <xf numFmtId="1" fontId="5" fillId="0" borderId="38" xfId="0" applyNumberFormat="1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14" fontId="1" fillId="0" borderId="19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5" xfId="0" applyBorder="1" applyAlignment="1">
      <alignment horizontal="center"/>
    </xf>
    <xf numFmtId="1" fontId="5" fillId="0" borderId="39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1" fontId="11" fillId="2" borderId="55" xfId="0" applyNumberFormat="1" applyFont="1" applyFill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9" xfId="0" applyBorder="1" applyAlignment="1">
      <alignment horizontal="center"/>
    </xf>
    <xf numFmtId="1" fontId="1" fillId="0" borderId="44" xfId="0" applyNumberFormat="1" applyFont="1" applyBorder="1" applyAlignment="1">
      <alignment horizontal="center"/>
    </xf>
    <xf numFmtId="0" fontId="0" fillId="0" borderId="51" xfId="0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1" fontId="1" fillId="2" borderId="38" xfId="0" applyNumberFormat="1" applyFont="1" applyFill="1" applyBorder="1"/>
    <xf numFmtId="0" fontId="0" fillId="0" borderId="47" xfId="0" applyBorder="1"/>
    <xf numFmtId="0" fontId="1" fillId="0" borderId="25" xfId="0" applyFont="1" applyBorder="1" applyAlignment="1">
      <alignment horizontal="center"/>
    </xf>
    <xf numFmtId="0" fontId="0" fillId="0" borderId="57" xfId="0" applyBorder="1"/>
    <xf numFmtId="0" fontId="0" fillId="0" borderId="58" xfId="0" applyBorder="1"/>
    <xf numFmtId="1" fontId="2" fillId="0" borderId="43" xfId="0" applyNumberFormat="1" applyFont="1" applyBorder="1"/>
    <xf numFmtId="0" fontId="2" fillId="0" borderId="44" xfId="0" applyFont="1" applyBorder="1"/>
    <xf numFmtId="0" fontId="3" fillId="0" borderId="1" xfId="0" applyFont="1" applyBorder="1"/>
    <xf numFmtId="1" fontId="1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1" fontId="1" fillId="0" borderId="34" xfId="0" applyNumberFormat="1" applyFont="1" applyBorder="1" applyAlignment="1">
      <alignment horizontal="center"/>
    </xf>
    <xf numFmtId="9" fontId="0" fillId="0" borderId="38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 vertical="center" wrapText="1"/>
    </xf>
    <xf numFmtId="1" fontId="1" fillId="0" borderId="57" xfId="0" applyNumberFormat="1" applyFont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14" fontId="0" fillId="0" borderId="57" xfId="0" applyNumberFormat="1" applyBorder="1" applyAlignment="1">
      <alignment horizontal="center" vertical="center"/>
    </xf>
    <xf numFmtId="9" fontId="0" fillId="0" borderId="57" xfId="0" applyNumberFormat="1" applyBorder="1" applyAlignment="1">
      <alignment horizontal="center" vertical="center"/>
    </xf>
    <xf numFmtId="1" fontId="1" fillId="0" borderId="58" xfId="0" applyNumberFormat="1" applyFont="1" applyBorder="1" applyAlignment="1">
      <alignment horizontal="center" vertical="center"/>
    </xf>
    <xf numFmtId="1" fontId="1" fillId="0" borderId="47" xfId="0" applyNumberFormat="1" applyFon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14" fontId="0" fillId="0" borderId="48" xfId="0" applyNumberFormat="1" applyBorder="1"/>
    <xf numFmtId="9" fontId="0" fillId="0" borderId="48" xfId="0" applyNumberFormat="1" applyBorder="1" applyAlignment="1">
      <alignment horizontal="center"/>
    </xf>
    <xf numFmtId="1" fontId="1" fillId="0" borderId="45" xfId="0" applyNumberFormat="1" applyFont="1" applyBorder="1" applyAlignment="1">
      <alignment horizontal="center"/>
    </xf>
    <xf numFmtId="1" fontId="1" fillId="0" borderId="48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9" fontId="0" fillId="0" borderId="25" xfId="0" applyNumberFormat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45" xfId="0" applyNumberFormat="1" applyBorder="1" applyAlignment="1">
      <alignment horizontal="center"/>
    </xf>
    <xf numFmtId="1" fontId="2" fillId="2" borderId="43" xfId="0" applyNumberFormat="1" applyFont="1" applyFill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1" fontId="1" fillId="0" borderId="2" xfId="0" applyNumberFormat="1" applyFont="1" applyBorder="1"/>
    <xf numFmtId="0" fontId="1" fillId="0" borderId="41" xfId="0" applyFont="1" applyBorder="1" applyAlignment="1">
      <alignment horizontal="center" wrapText="1"/>
    </xf>
    <xf numFmtId="0" fontId="0" fillId="0" borderId="63" xfId="0" applyBorder="1"/>
    <xf numFmtId="0" fontId="0" fillId="0" borderId="2" xfId="0" applyBorder="1"/>
    <xf numFmtId="0" fontId="0" fillId="0" borderId="35" xfId="0" applyBorder="1"/>
    <xf numFmtId="0" fontId="1" fillId="6" borderId="41" xfId="0" applyFont="1" applyFill="1" applyBorder="1"/>
    <xf numFmtId="0" fontId="1" fillId="6" borderId="41" xfId="0" applyFont="1" applyFill="1" applyBorder="1" applyAlignment="1">
      <alignment horizontal="center" wrapText="1"/>
    </xf>
    <xf numFmtId="0" fontId="0" fillId="6" borderId="2" xfId="0" applyFill="1" applyBorder="1"/>
    <xf numFmtId="0" fontId="0" fillId="6" borderId="35" xfId="0" applyFill="1" applyBorder="1"/>
    <xf numFmtId="0" fontId="0" fillId="6" borderId="64" xfId="0" applyFill="1" applyBorder="1"/>
    <xf numFmtId="2" fontId="0" fillId="0" borderId="34" xfId="0" applyNumberFormat="1" applyBorder="1" applyAlignment="1">
      <alignment horizontal="center"/>
    </xf>
    <xf numFmtId="14" fontId="1" fillId="0" borderId="40" xfId="0" applyNumberFormat="1" applyFont="1" applyBorder="1" applyAlignment="1">
      <alignment horizontal="center"/>
    </xf>
    <xf numFmtId="14" fontId="1" fillId="0" borderId="43" xfId="0" applyNumberFormat="1" applyFont="1" applyBorder="1" applyAlignment="1">
      <alignment horizontal="center"/>
    </xf>
    <xf numFmtId="165" fontId="1" fillId="0" borderId="43" xfId="1" applyNumberFormat="1" applyFont="1" applyBorder="1" applyAlignment="1">
      <alignment horizontal="center"/>
    </xf>
    <xf numFmtId="10" fontId="1" fillId="0" borderId="43" xfId="0" applyNumberFormat="1" applyFon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165" fontId="0" fillId="0" borderId="43" xfId="1" applyNumberFormat="1" applyFont="1" applyBorder="1" applyAlignment="1">
      <alignment horizontal="center"/>
    </xf>
    <xf numFmtId="0" fontId="1" fillId="7" borderId="40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1" fillId="9" borderId="44" xfId="0" applyFont="1" applyFill="1" applyBorder="1" applyAlignment="1">
      <alignment horizontal="center"/>
    </xf>
    <xf numFmtId="1" fontId="3" fillId="2" borderId="43" xfId="0" applyNumberFormat="1" applyFont="1" applyFill="1" applyBorder="1" applyAlignment="1">
      <alignment horizontal="center"/>
    </xf>
    <xf numFmtId="0" fontId="1" fillId="0" borderId="56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14" fontId="0" fillId="0" borderId="23" xfId="0" applyNumberFormat="1" applyBorder="1"/>
    <xf numFmtId="2" fontId="0" fillId="0" borderId="23" xfId="0" applyNumberFormat="1" applyBorder="1"/>
    <xf numFmtId="10" fontId="0" fillId="0" borderId="23" xfId="0" applyNumberFormat="1" applyBorder="1"/>
    <xf numFmtId="1" fontId="0" fillId="0" borderId="24" xfId="0" applyNumberFormat="1" applyBorder="1"/>
    <xf numFmtId="0" fontId="1" fillId="0" borderId="43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39" xfId="0" applyBorder="1" applyAlignment="1">
      <alignment vertical="center"/>
    </xf>
    <xf numFmtId="0" fontId="0" fillId="0" borderId="44" xfId="0" applyBorder="1"/>
    <xf numFmtId="0" fontId="1" fillId="0" borderId="48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40" xfId="0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4" fontId="0" fillId="0" borderId="50" xfId="0" applyNumberFormat="1" applyBorder="1" applyAlignment="1">
      <alignment horizontal="center"/>
    </xf>
    <xf numFmtId="1" fontId="1" fillId="0" borderId="26" xfId="0" applyNumberFormat="1" applyFont="1" applyBorder="1"/>
    <xf numFmtId="1" fontId="0" fillId="0" borderId="51" xfId="0" applyNumberFormat="1" applyBorder="1"/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5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10" fontId="0" fillId="0" borderId="25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0" fontId="5" fillId="0" borderId="44" xfId="0" applyFont="1" applyBorder="1"/>
    <xf numFmtId="0" fontId="14" fillId="0" borderId="0" xfId="0" applyFont="1"/>
    <xf numFmtId="0" fontId="6" fillId="8" borderId="40" xfId="0" applyFont="1" applyFill="1" applyBorder="1" applyAlignment="1">
      <alignment horizontal="center"/>
    </xf>
    <xf numFmtId="1" fontId="15" fillId="2" borderId="43" xfId="0" applyNumberFormat="1" applyFont="1" applyFill="1" applyBorder="1" applyAlignment="1">
      <alignment horizontal="center"/>
    </xf>
    <xf numFmtId="0" fontId="6" fillId="8" borderId="44" xfId="0" applyFont="1" applyFill="1" applyBorder="1"/>
    <xf numFmtId="0" fontId="16" fillId="0" borderId="0" xfId="0" applyFont="1"/>
    <xf numFmtId="0" fontId="2" fillId="10" borderId="40" xfId="0" applyFont="1" applyFill="1" applyBorder="1" applyAlignment="1">
      <alignment horizontal="center"/>
    </xf>
    <xf numFmtId="1" fontId="2" fillId="10" borderId="43" xfId="0" applyNumberFormat="1" applyFont="1" applyFill="1" applyBorder="1" applyAlignment="1">
      <alignment horizontal="center"/>
    </xf>
    <xf numFmtId="0" fontId="2" fillId="10" borderId="44" xfId="0" applyFont="1" applyFill="1" applyBorder="1"/>
    <xf numFmtId="2" fontId="0" fillId="0" borderId="66" xfId="0" applyNumberForma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6" fillId="0" borderId="40" xfId="0" applyFont="1" applyBorder="1"/>
    <xf numFmtId="1" fontId="6" fillId="2" borderId="44" xfId="0" applyNumberFormat="1" applyFont="1" applyFill="1" applyBorder="1"/>
    <xf numFmtId="0" fontId="5" fillId="2" borderId="48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14" fontId="0" fillId="0" borderId="40" xfId="0" applyNumberFormat="1" applyBorder="1" applyAlignment="1">
      <alignment horizontal="center"/>
    </xf>
    <xf numFmtId="0" fontId="1" fillId="0" borderId="58" xfId="0" applyFont="1" applyBorder="1"/>
    <xf numFmtId="1" fontId="1" fillId="0" borderId="57" xfId="0" applyNumberFormat="1" applyFont="1" applyBorder="1"/>
    <xf numFmtId="1" fontId="11" fillId="2" borderId="43" xfId="0" applyNumberFormat="1" applyFont="1" applyFill="1" applyBorder="1"/>
    <xf numFmtId="1" fontId="0" fillId="0" borderId="57" xfId="0" applyNumberFormat="1" applyBorder="1"/>
    <xf numFmtId="1" fontId="11" fillId="2" borderId="57" xfId="0" applyNumberFormat="1" applyFont="1" applyFill="1" applyBorder="1"/>
    <xf numFmtId="1" fontId="1" fillId="0" borderId="24" xfId="0" applyNumberFormat="1" applyFont="1" applyBorder="1"/>
    <xf numFmtId="0" fontId="2" fillId="0" borderId="4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14" fontId="5" fillId="0" borderId="54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1" fontId="5" fillId="0" borderId="52" xfId="0" applyNumberFormat="1" applyFont="1" applyBorder="1"/>
    <xf numFmtId="0" fontId="8" fillId="0" borderId="48" xfId="0" applyFont="1" applyBorder="1" applyAlignment="1">
      <alignment horizontal="center"/>
    </xf>
    <xf numFmtId="0" fontId="8" fillId="0" borderId="45" xfId="0" applyFont="1" applyBorder="1"/>
    <xf numFmtId="1" fontId="5" fillId="0" borderId="55" xfId="0" applyNumberFormat="1" applyFon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13" fillId="2" borderId="43" xfId="0" applyNumberFormat="1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2" fontId="0" fillId="0" borderId="48" xfId="1" applyNumberFormat="1" applyFont="1" applyBorder="1" applyAlignment="1">
      <alignment horizontal="center"/>
    </xf>
    <xf numFmtId="10" fontId="0" fillId="0" borderId="48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right"/>
    </xf>
    <xf numFmtId="1" fontId="1" fillId="4" borderId="44" xfId="0" applyNumberFormat="1" applyFont="1" applyFill="1" applyBorder="1"/>
    <xf numFmtId="0" fontId="1" fillId="0" borderId="5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4" fontId="20" fillId="0" borderId="17" xfId="0" applyNumberFormat="1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10" fontId="20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0" fillId="0" borderId="18" xfId="0" applyNumberFormat="1" applyFont="1" applyBorder="1" applyAlignment="1">
      <alignment horizontal="center"/>
    </xf>
    <xf numFmtId="14" fontId="19" fillId="0" borderId="47" xfId="0" applyNumberFormat="1" applyFont="1" applyBorder="1" applyAlignment="1">
      <alignment horizontal="center"/>
    </xf>
    <xf numFmtId="14" fontId="19" fillId="0" borderId="48" xfId="0" applyNumberFormat="1" applyFont="1" applyBorder="1" applyAlignment="1">
      <alignment horizontal="center"/>
    </xf>
    <xf numFmtId="10" fontId="19" fillId="0" borderId="48" xfId="0" applyNumberFormat="1" applyFont="1" applyBorder="1" applyAlignment="1">
      <alignment horizontal="center"/>
    </xf>
    <xf numFmtId="1" fontId="19" fillId="0" borderId="48" xfId="0" applyNumberFormat="1" applyFont="1" applyBorder="1" applyAlignment="1">
      <alignment horizontal="center"/>
    </xf>
    <xf numFmtId="1" fontId="19" fillId="0" borderId="45" xfId="0" applyNumberFormat="1" applyFont="1" applyBorder="1" applyAlignment="1">
      <alignment horizontal="center"/>
    </xf>
    <xf numFmtId="0" fontId="0" fillId="0" borderId="40" xfId="0" applyBorder="1"/>
    <xf numFmtId="0" fontId="0" fillId="0" borderId="43" xfId="0" applyBorder="1"/>
    <xf numFmtId="2" fontId="19" fillId="0" borderId="48" xfId="0" applyNumberFormat="1" applyFont="1" applyBorder="1" applyAlignment="1">
      <alignment horizontal="center"/>
    </xf>
    <xf numFmtId="0" fontId="0" fillId="0" borderId="54" xfId="0" applyBorder="1"/>
    <xf numFmtId="0" fontId="0" fillId="0" borderId="55" xfId="0" applyBorder="1"/>
    <xf numFmtId="14" fontId="20" fillId="0" borderId="48" xfId="0" applyNumberFormat="1" applyFont="1" applyBorder="1" applyAlignment="1">
      <alignment horizontal="center"/>
    </xf>
    <xf numFmtId="1" fontId="20" fillId="0" borderId="48" xfId="0" applyNumberFormat="1" applyFont="1" applyBorder="1" applyAlignment="1">
      <alignment horizontal="center"/>
    </xf>
    <xf numFmtId="2" fontId="20" fillId="0" borderId="48" xfId="0" applyNumberFormat="1" applyFont="1" applyBorder="1" applyAlignment="1">
      <alignment horizontal="center"/>
    </xf>
    <xf numFmtId="10" fontId="20" fillId="0" borderId="48" xfId="0" applyNumberFormat="1" applyFont="1" applyBorder="1" applyAlignment="1">
      <alignment horizontal="center"/>
    </xf>
    <xf numFmtId="1" fontId="20" fillId="0" borderId="45" xfId="0" applyNumberFormat="1" applyFont="1" applyBorder="1" applyAlignment="1">
      <alignment horizontal="center"/>
    </xf>
    <xf numFmtId="0" fontId="0" fillId="0" borderId="59" xfId="0" applyBorder="1"/>
    <xf numFmtId="0" fontId="0" fillId="0" borderId="16" xfId="0" applyBorder="1"/>
    <xf numFmtId="0" fontId="20" fillId="0" borderId="1" xfId="0" applyFont="1" applyBorder="1" applyAlignment="1">
      <alignment horizontal="center"/>
    </xf>
    <xf numFmtId="14" fontId="20" fillId="0" borderId="49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" fontId="20" fillId="0" borderId="25" xfId="0" applyNumberFormat="1" applyFont="1" applyBorder="1" applyAlignment="1">
      <alignment horizontal="center"/>
    </xf>
    <xf numFmtId="2" fontId="20" fillId="0" borderId="25" xfId="0" applyNumberFormat="1" applyFont="1" applyBorder="1" applyAlignment="1">
      <alignment horizontal="center"/>
    </xf>
    <xf numFmtId="10" fontId="20" fillId="0" borderId="25" xfId="0" applyNumberFormat="1" applyFont="1" applyBorder="1" applyAlignment="1">
      <alignment horizontal="center"/>
    </xf>
    <xf numFmtId="1" fontId="20" fillId="0" borderId="46" xfId="0" applyNumberFormat="1" applyFont="1" applyBorder="1" applyAlignment="1">
      <alignment horizontal="center"/>
    </xf>
    <xf numFmtId="14" fontId="3" fillId="2" borderId="47" xfId="0" applyNumberFormat="1" applyFont="1" applyFill="1" applyBorder="1" applyAlignment="1">
      <alignment horizontal="center"/>
    </xf>
    <xf numFmtId="0" fontId="0" fillId="0" borderId="41" xfId="0" applyBorder="1"/>
    <xf numFmtId="0" fontId="0" fillId="0" borderId="6" xfId="0" applyBorder="1"/>
    <xf numFmtId="1" fontId="0" fillId="0" borderId="51" xfId="0" applyNumberFormat="1" applyBorder="1" applyAlignment="1">
      <alignment horizontal="center"/>
    </xf>
    <xf numFmtId="1" fontId="11" fillId="2" borderId="52" xfId="0" applyNumberFormat="1" applyFont="1" applyFill="1" applyBorder="1" applyAlignment="1">
      <alignment horizontal="center"/>
    </xf>
    <xf numFmtId="14" fontId="3" fillId="2" borderId="17" xfId="0" applyNumberFormat="1" applyFont="1" applyFill="1" applyBorder="1" applyAlignment="1">
      <alignment horizontal="center"/>
    </xf>
    <xf numFmtId="1" fontId="3" fillId="2" borderId="44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" fillId="0" borderId="40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1" fillId="2" borderId="43" xfId="0" applyFont="1" applyFill="1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43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0" fillId="0" borderId="0" xfId="0" applyAlignment="1">
      <alignment horizontal="center"/>
    </xf>
    <xf numFmtId="1" fontId="5" fillId="0" borderId="38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2" fontId="0" fillId="0" borderId="30" xfId="0" applyNumberForma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4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1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42" xfId="0" applyBorder="1" applyAlignment="1">
      <alignment horizontal="left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1" xfId="0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2" fillId="10" borderId="41" xfId="0" applyFont="1" applyFill="1" applyBorder="1" applyAlignment="1">
      <alignment horizontal="center"/>
    </xf>
    <xf numFmtId="0" fontId="2" fillId="10" borderId="31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5" xfId="0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6" fillId="8" borderId="41" xfId="0" applyFont="1" applyFill="1" applyBorder="1" applyAlignment="1">
      <alignment horizontal="center"/>
    </xf>
    <xf numFmtId="0" fontId="6" fillId="8" borderId="31" xfId="0" applyFont="1" applyFill="1" applyBorder="1" applyAlignment="1">
      <alignment horizontal="center"/>
    </xf>
    <xf numFmtId="0" fontId="6" fillId="8" borderId="42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1" fillId="8" borderId="4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5" fillId="8" borderId="41" xfId="0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/>
    </xf>
    <xf numFmtId="0" fontId="5" fillId="8" borderId="42" xfId="0" applyFont="1" applyFill="1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1" fontId="2" fillId="0" borderId="43" xfId="0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30" xfId="0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9" xfId="0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0" fillId="0" borderId="49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70" xfId="0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42" xfId="0" applyFont="1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9" xfId="0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53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56" xfId="0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62" xfId="0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5"/>
  <sheetViews>
    <sheetView workbookViewId="0"/>
  </sheetViews>
  <sheetFormatPr defaultRowHeight="14.5" x14ac:dyDescent="0.35"/>
  <cols>
    <col min="1" max="1" width="10.08984375" style="6" bestFit="1" customWidth="1"/>
    <col min="2" max="2" width="12.453125" style="20" bestFit="1" customWidth="1"/>
    <col min="3" max="3" width="10.54296875" customWidth="1"/>
    <col min="4" max="4" width="10.90625" customWidth="1"/>
    <col min="7" max="7" width="15.6328125" bestFit="1" customWidth="1"/>
    <col min="8" max="8" width="12" bestFit="1" customWidth="1"/>
    <col min="9" max="9" width="12" customWidth="1"/>
    <col min="10" max="10" width="13.54296875" bestFit="1" customWidth="1"/>
    <col min="16" max="16" width="9.453125" bestFit="1" customWidth="1"/>
    <col min="17" max="17" width="15.6328125" bestFit="1" customWidth="1"/>
  </cols>
  <sheetData>
    <row r="1" spans="1:18" ht="14.4" x14ac:dyDescent="0.3">
      <c r="A1"/>
    </row>
    <row r="2" spans="1:18" ht="18" x14ac:dyDescent="0.35">
      <c r="A2" s="542" t="s">
        <v>23</v>
      </c>
      <c r="B2" s="542"/>
      <c r="C2" s="542"/>
      <c r="D2" s="542"/>
      <c r="E2" s="542"/>
      <c r="F2" s="542"/>
      <c r="G2" s="542"/>
      <c r="H2" s="542"/>
      <c r="K2" s="542" t="s">
        <v>0</v>
      </c>
      <c r="L2" s="542"/>
      <c r="M2" s="542"/>
      <c r="N2" s="542"/>
      <c r="O2" s="542"/>
      <c r="P2" s="542"/>
      <c r="Q2" s="542"/>
      <c r="R2" s="542"/>
    </row>
    <row r="3" spans="1:18" ht="14.4" x14ac:dyDescent="0.3">
      <c r="K3" s="6"/>
    </row>
    <row r="4" spans="1:18" s="10" customFormat="1" ht="14.4" x14ac:dyDescent="0.3">
      <c r="A4" s="12" t="s">
        <v>1</v>
      </c>
      <c r="B4" s="21" t="s">
        <v>7</v>
      </c>
      <c r="C4" s="12" t="s">
        <v>2</v>
      </c>
      <c r="D4" s="12" t="s">
        <v>3</v>
      </c>
      <c r="E4" s="12" t="s">
        <v>4</v>
      </c>
      <c r="F4" s="12" t="s">
        <v>24</v>
      </c>
      <c r="G4" s="12" t="s">
        <v>6</v>
      </c>
      <c r="H4" s="12" t="s">
        <v>25</v>
      </c>
      <c r="K4" s="12" t="s">
        <v>1</v>
      </c>
      <c r="L4" s="12" t="s">
        <v>7</v>
      </c>
      <c r="M4" s="12" t="s">
        <v>2</v>
      </c>
      <c r="N4" s="12" t="s">
        <v>3</v>
      </c>
      <c r="O4" s="12" t="s">
        <v>4</v>
      </c>
      <c r="P4" s="12" t="s">
        <v>24</v>
      </c>
      <c r="Q4" s="12" t="s">
        <v>6</v>
      </c>
      <c r="R4" s="12" t="s">
        <v>25</v>
      </c>
    </row>
    <row r="5" spans="1:18" ht="14.4" x14ac:dyDescent="0.3">
      <c r="A5" s="15"/>
      <c r="B5" s="21" t="s">
        <v>8</v>
      </c>
      <c r="C5" s="1"/>
      <c r="D5" s="1"/>
      <c r="E5" s="1"/>
      <c r="F5" s="1"/>
      <c r="G5" s="1"/>
      <c r="H5" s="1"/>
      <c r="K5" s="15"/>
      <c r="L5" s="12" t="s">
        <v>8</v>
      </c>
      <c r="M5" s="1"/>
      <c r="N5" s="1"/>
      <c r="O5" s="1"/>
      <c r="P5" s="1"/>
      <c r="Q5" s="1"/>
      <c r="R5" s="1"/>
    </row>
    <row r="6" spans="1:18" ht="14.4" x14ac:dyDescent="0.3">
      <c r="A6" s="25">
        <v>1</v>
      </c>
      <c r="B6" s="22">
        <v>1000000</v>
      </c>
      <c r="C6" s="2">
        <v>42451</v>
      </c>
      <c r="D6" s="2">
        <v>42816</v>
      </c>
      <c r="E6" s="3">
        <f>+D6-C6</f>
        <v>365</v>
      </c>
      <c r="F6" s="4">
        <v>0.18</v>
      </c>
      <c r="G6" s="5">
        <f>B6*E6*F6/365</f>
        <v>180000</v>
      </c>
      <c r="H6" s="5">
        <f>+B6+G6</f>
        <v>1180000</v>
      </c>
      <c r="I6" s="14"/>
      <c r="K6" s="16">
        <v>1</v>
      </c>
      <c r="L6" s="1">
        <v>1000000</v>
      </c>
      <c r="M6" s="2">
        <v>42451</v>
      </c>
      <c r="N6" s="2">
        <v>42816</v>
      </c>
      <c r="O6" s="3">
        <f>+N6-M6</f>
        <v>365</v>
      </c>
      <c r="P6" s="4">
        <v>0.18</v>
      </c>
      <c r="Q6" s="5">
        <f>L6*O6*P6/365</f>
        <v>180000</v>
      </c>
      <c r="R6" s="5">
        <f>+L6+Q6</f>
        <v>1180000</v>
      </c>
    </row>
    <row r="7" spans="1:18" ht="14.4" x14ac:dyDescent="0.3">
      <c r="A7" s="25"/>
      <c r="B7" s="23">
        <f>+H6</f>
        <v>1180000</v>
      </c>
      <c r="C7" s="2">
        <f>+D6</f>
        <v>42816</v>
      </c>
      <c r="D7" s="2">
        <v>43181</v>
      </c>
      <c r="E7" s="3">
        <f t="shared" ref="E7:E14" si="0">+D7-C7</f>
        <v>365</v>
      </c>
      <c r="F7" s="4">
        <v>0.18</v>
      </c>
      <c r="G7" s="5">
        <f t="shared" ref="G7:G14" si="1">B7*E7*F7/365</f>
        <v>212400</v>
      </c>
      <c r="H7" s="5">
        <f t="shared" ref="H7:H8" si="2">+B7+G7</f>
        <v>1392400</v>
      </c>
      <c r="I7" s="14"/>
      <c r="K7" s="16"/>
      <c r="L7" s="5">
        <f>+R6</f>
        <v>1180000</v>
      </c>
      <c r="M7" s="2">
        <f>+N6</f>
        <v>42816</v>
      </c>
      <c r="N7" s="2">
        <v>43181</v>
      </c>
      <c r="O7" s="3">
        <f t="shared" ref="O7:O8" si="3">+N7-M7</f>
        <v>365</v>
      </c>
      <c r="P7" s="4">
        <v>0.18</v>
      </c>
      <c r="Q7" s="5">
        <f t="shared" ref="Q7:Q8" si="4">L7*O7*P7/365</f>
        <v>212400</v>
      </c>
      <c r="R7" s="5">
        <f t="shared" ref="R7:R8" si="5">+L7+Q7</f>
        <v>1392400</v>
      </c>
    </row>
    <row r="8" spans="1:18" ht="14.4" x14ac:dyDescent="0.3">
      <c r="A8" s="25"/>
      <c r="B8" s="23">
        <f>+H7</f>
        <v>1392400</v>
      </c>
      <c r="C8" s="2">
        <f>+D7</f>
        <v>43181</v>
      </c>
      <c r="D8" s="2">
        <v>43536</v>
      </c>
      <c r="E8" s="3">
        <f t="shared" si="0"/>
        <v>355</v>
      </c>
      <c r="F8" s="4">
        <v>0.18</v>
      </c>
      <c r="G8" s="5">
        <f t="shared" si="1"/>
        <v>243765.36986301371</v>
      </c>
      <c r="H8" s="8">
        <f t="shared" si="2"/>
        <v>1636165.3698630137</v>
      </c>
      <c r="I8" s="11"/>
      <c r="K8" s="16"/>
      <c r="L8" s="5">
        <f>+R7</f>
        <v>1392400</v>
      </c>
      <c r="M8" s="2">
        <f>+N7</f>
        <v>43181</v>
      </c>
      <c r="N8" s="2">
        <v>43536</v>
      </c>
      <c r="O8" s="3">
        <f t="shared" si="3"/>
        <v>355</v>
      </c>
      <c r="P8" s="4">
        <v>0.18</v>
      </c>
      <c r="Q8" s="5">
        <f t="shared" si="4"/>
        <v>243765.36986301371</v>
      </c>
      <c r="R8" s="8">
        <f t="shared" si="5"/>
        <v>1636165.3698630137</v>
      </c>
    </row>
    <row r="9" spans="1:18" ht="14.4" x14ac:dyDescent="0.3">
      <c r="A9" s="25"/>
      <c r="B9" s="23"/>
      <c r="C9" s="2"/>
      <c r="D9" s="2"/>
      <c r="E9" s="3"/>
      <c r="F9" s="4"/>
      <c r="G9" s="5"/>
      <c r="H9" s="8"/>
      <c r="I9" s="11"/>
      <c r="K9" s="16"/>
      <c r="L9" s="5"/>
      <c r="M9" s="2"/>
      <c r="N9" s="2"/>
      <c r="O9" s="3"/>
      <c r="P9" s="4"/>
      <c r="Q9" s="5"/>
      <c r="R9" s="5"/>
    </row>
    <row r="10" spans="1:18" ht="14.4" x14ac:dyDescent="0.3">
      <c r="A10" s="25"/>
      <c r="B10" s="23"/>
      <c r="C10" s="2"/>
      <c r="D10" s="2"/>
      <c r="E10" s="19">
        <f>SUM(E6:E9)</f>
        <v>1085</v>
      </c>
      <c r="F10" s="4"/>
      <c r="G10" s="8">
        <f>+SUM(G6:G9)</f>
        <v>636165.36986301374</v>
      </c>
      <c r="H10" s="5"/>
      <c r="I10" s="14"/>
      <c r="K10" s="16"/>
      <c r="L10" s="5"/>
      <c r="M10" s="2"/>
      <c r="N10" s="2"/>
      <c r="O10" s="3"/>
      <c r="P10" s="4"/>
      <c r="Q10" s="8">
        <f>+SUM(Q6:Q9)</f>
        <v>636165.36986301374</v>
      </c>
      <c r="R10" s="5"/>
    </row>
    <row r="11" spans="1:18" ht="14.4" x14ac:dyDescent="0.3">
      <c r="A11" s="25"/>
      <c r="B11" s="22"/>
      <c r="C11" s="2"/>
      <c r="D11" s="2"/>
      <c r="E11" s="3"/>
      <c r="F11" s="4"/>
      <c r="G11" s="5"/>
      <c r="H11" s="5"/>
      <c r="I11" s="14"/>
      <c r="K11" s="16"/>
      <c r="L11" s="1"/>
      <c r="M11" s="2"/>
      <c r="N11" s="2"/>
      <c r="O11" s="3"/>
      <c r="P11" s="4"/>
      <c r="Q11" s="5"/>
      <c r="R11" s="5"/>
    </row>
    <row r="12" spans="1:18" ht="14.4" x14ac:dyDescent="0.3">
      <c r="A12" s="25">
        <v>2</v>
      </c>
      <c r="B12" s="22">
        <v>1000000</v>
      </c>
      <c r="C12" s="2">
        <v>42630</v>
      </c>
      <c r="D12" s="2">
        <v>42995</v>
      </c>
      <c r="E12" s="3">
        <f t="shared" si="0"/>
        <v>365</v>
      </c>
      <c r="F12" s="4">
        <v>0.24</v>
      </c>
      <c r="G12" s="5">
        <f t="shared" si="1"/>
        <v>240000</v>
      </c>
      <c r="H12" s="5">
        <f>+B12+G12</f>
        <v>1240000</v>
      </c>
      <c r="I12" s="14"/>
      <c r="K12" s="16">
        <v>2</v>
      </c>
      <c r="L12" s="1">
        <v>1000000</v>
      </c>
      <c r="M12" s="2">
        <v>42418</v>
      </c>
      <c r="N12" s="2">
        <v>42783</v>
      </c>
      <c r="O12" s="3">
        <f t="shared" ref="O12:O16" si="6">+N12-M12</f>
        <v>365</v>
      </c>
      <c r="P12" s="4">
        <v>0.24</v>
      </c>
      <c r="Q12" s="5">
        <f t="shared" ref="Q12:Q16" si="7">L12*O12*P12/365</f>
        <v>240000</v>
      </c>
      <c r="R12" s="5">
        <f>+L12+Q12</f>
        <v>1240000</v>
      </c>
    </row>
    <row r="13" spans="1:18" ht="14.4" x14ac:dyDescent="0.3">
      <c r="A13" s="25"/>
      <c r="B13" s="23">
        <f>+H12</f>
        <v>1240000</v>
      </c>
      <c r="C13" s="2">
        <f>+D12</f>
        <v>42995</v>
      </c>
      <c r="D13" s="2">
        <v>43360</v>
      </c>
      <c r="E13" s="3">
        <f t="shared" si="0"/>
        <v>365</v>
      </c>
      <c r="F13" s="4">
        <v>0.24</v>
      </c>
      <c r="G13" s="5">
        <f t="shared" si="1"/>
        <v>297600</v>
      </c>
      <c r="H13" s="5">
        <f>+G13+B13</f>
        <v>1537600</v>
      </c>
      <c r="I13" s="14"/>
      <c r="K13" s="16"/>
      <c r="L13" s="5">
        <f>+R12</f>
        <v>1240000</v>
      </c>
      <c r="M13" s="2">
        <f>+N12</f>
        <v>42783</v>
      </c>
      <c r="N13" s="2">
        <v>43148</v>
      </c>
      <c r="O13" s="3">
        <f t="shared" si="6"/>
        <v>365</v>
      </c>
      <c r="P13" s="4">
        <v>0.24</v>
      </c>
      <c r="Q13" s="5">
        <f t="shared" si="7"/>
        <v>297600</v>
      </c>
      <c r="R13" s="5">
        <f>+Q13+L13</f>
        <v>1537600</v>
      </c>
    </row>
    <row r="14" spans="1:18" x14ac:dyDescent="0.35">
      <c r="A14" s="16"/>
      <c r="B14" s="23">
        <f>+H13</f>
        <v>1537600</v>
      </c>
      <c r="C14" s="2">
        <f>+D13</f>
        <v>43360</v>
      </c>
      <c r="D14" s="2">
        <v>43536</v>
      </c>
      <c r="E14" s="3">
        <f t="shared" si="0"/>
        <v>176</v>
      </c>
      <c r="F14" s="4">
        <v>0.24</v>
      </c>
      <c r="G14" s="5">
        <f t="shared" si="1"/>
        <v>177940.33972602739</v>
      </c>
      <c r="H14" s="8">
        <f>+G14+B14</f>
        <v>1715540.3397260273</v>
      </c>
      <c r="I14" s="11"/>
      <c r="K14" s="16"/>
      <c r="L14" s="5">
        <f>+R13</f>
        <v>1537600</v>
      </c>
      <c r="M14" s="2">
        <f>+N13</f>
        <v>43148</v>
      </c>
      <c r="N14" s="2">
        <v>43513</v>
      </c>
      <c r="O14" s="3">
        <f t="shared" si="6"/>
        <v>365</v>
      </c>
      <c r="P14" s="4">
        <v>0.24</v>
      </c>
      <c r="Q14" s="5">
        <f t="shared" si="7"/>
        <v>369024</v>
      </c>
      <c r="R14" s="5">
        <f>+Q14+L14</f>
        <v>1906624</v>
      </c>
    </row>
    <row r="15" spans="1:18" x14ac:dyDescent="0.35">
      <c r="A15" s="16"/>
      <c r="B15" s="23"/>
      <c r="C15" s="2"/>
      <c r="D15" s="2"/>
      <c r="E15" s="3"/>
      <c r="F15" s="4"/>
      <c r="G15" s="5"/>
      <c r="H15" s="8"/>
      <c r="I15" s="11"/>
      <c r="K15" s="16"/>
      <c r="L15" s="5"/>
      <c r="M15" s="2"/>
      <c r="N15" s="2"/>
      <c r="O15" s="3"/>
      <c r="P15" s="4"/>
      <c r="Q15" s="5"/>
      <c r="R15" s="5"/>
    </row>
    <row r="16" spans="1:18" x14ac:dyDescent="0.35">
      <c r="A16" s="16"/>
      <c r="B16" s="22"/>
      <c r="C16" s="2"/>
      <c r="D16" s="2"/>
      <c r="E16" s="19">
        <f>SUM(E12:E14)</f>
        <v>906</v>
      </c>
      <c r="F16" s="4"/>
      <c r="G16" s="5"/>
      <c r="H16" s="5"/>
      <c r="I16" s="14"/>
      <c r="K16" s="16"/>
      <c r="L16" s="5">
        <f>+R14</f>
        <v>1906624</v>
      </c>
      <c r="M16" s="2">
        <f>+N14</f>
        <v>43513</v>
      </c>
      <c r="N16" s="2">
        <v>43536</v>
      </c>
      <c r="O16" s="3">
        <f t="shared" si="6"/>
        <v>23</v>
      </c>
      <c r="P16" s="4">
        <v>0.24</v>
      </c>
      <c r="Q16" s="5">
        <f t="shared" si="7"/>
        <v>28834.423232876714</v>
      </c>
      <c r="R16" s="5">
        <f>+Q16+L16</f>
        <v>1935458.4232328767</v>
      </c>
    </row>
    <row r="17" spans="1:18" x14ac:dyDescent="0.35">
      <c r="A17" s="539" t="s">
        <v>22</v>
      </c>
      <c r="B17" s="541"/>
      <c r="C17" s="541"/>
      <c r="D17" s="541"/>
      <c r="E17" s="541"/>
      <c r="F17" s="540"/>
      <c r="G17" s="8">
        <f>SUM(G12:G16)</f>
        <v>715540.33972602733</v>
      </c>
      <c r="H17" s="8"/>
      <c r="I17" s="11"/>
      <c r="K17" s="539" t="s">
        <v>22</v>
      </c>
      <c r="L17" s="541"/>
      <c r="M17" s="541"/>
      <c r="N17" s="541"/>
      <c r="O17" s="541"/>
      <c r="P17" s="540"/>
      <c r="Q17" s="8">
        <f>SUM(Q12:Q16)</f>
        <v>935458.4232328767</v>
      </c>
      <c r="R17" s="8"/>
    </row>
    <row r="18" spans="1:18" x14ac:dyDescent="0.35">
      <c r="K18" s="6"/>
      <c r="O18" s="18"/>
    </row>
    <row r="19" spans="1:18" s="6" customFormat="1" x14ac:dyDescent="0.35">
      <c r="A19" s="12" t="s">
        <v>1</v>
      </c>
      <c r="B19" s="21" t="s">
        <v>7</v>
      </c>
      <c r="C19" s="12" t="s">
        <v>2</v>
      </c>
      <c r="D19" s="12" t="s">
        <v>3</v>
      </c>
      <c r="E19" s="12" t="s">
        <v>4</v>
      </c>
      <c r="F19" s="12" t="s">
        <v>5</v>
      </c>
      <c r="G19" s="12" t="s">
        <v>6</v>
      </c>
      <c r="H19" s="12"/>
      <c r="I19" s="10"/>
      <c r="K19" s="12" t="s">
        <v>1</v>
      </c>
      <c r="L19" s="12" t="s">
        <v>7</v>
      </c>
      <c r="M19" s="12" t="s">
        <v>2</v>
      </c>
      <c r="N19" s="12" t="s">
        <v>3</v>
      </c>
      <c r="O19" s="12" t="s">
        <v>4</v>
      </c>
      <c r="P19" s="12" t="s">
        <v>5</v>
      </c>
      <c r="Q19" s="12" t="s">
        <v>6</v>
      </c>
      <c r="R19" s="12"/>
    </row>
    <row r="20" spans="1:18" x14ac:dyDescent="0.35">
      <c r="A20" s="15"/>
      <c r="B20" s="21" t="s">
        <v>9</v>
      </c>
      <c r="C20" s="1"/>
      <c r="D20" s="1"/>
      <c r="E20" s="1"/>
      <c r="F20" s="1"/>
      <c r="G20" s="1"/>
      <c r="H20" s="1"/>
      <c r="K20" s="15"/>
      <c r="L20" s="12" t="s">
        <v>9</v>
      </c>
      <c r="M20" s="1"/>
      <c r="N20" s="1"/>
      <c r="O20" s="1"/>
      <c r="P20" s="1"/>
      <c r="Q20" s="1"/>
      <c r="R20" s="1"/>
    </row>
    <row r="21" spans="1:18" x14ac:dyDescent="0.35">
      <c r="A21" s="17">
        <v>43265</v>
      </c>
      <c r="B21" s="22">
        <v>1000000</v>
      </c>
      <c r="C21" s="2">
        <v>43265</v>
      </c>
      <c r="D21" s="2">
        <v>43536</v>
      </c>
      <c r="E21" s="3">
        <f>+D21-C21</f>
        <v>271</v>
      </c>
      <c r="F21" s="4">
        <v>0.18</v>
      </c>
      <c r="G21" s="5">
        <f>B21*E21*F21/365</f>
        <v>133643.83561643836</v>
      </c>
      <c r="H21" s="5"/>
      <c r="I21" s="14"/>
      <c r="K21" s="17">
        <v>43265</v>
      </c>
      <c r="L21" s="1">
        <v>1000000</v>
      </c>
      <c r="M21" s="2">
        <v>43265</v>
      </c>
      <c r="N21" s="2">
        <v>43536</v>
      </c>
      <c r="O21" s="3">
        <f>+N21-M21</f>
        <v>271</v>
      </c>
      <c r="P21" s="4">
        <v>0.18</v>
      </c>
      <c r="Q21" s="5">
        <f>L21*O21*P21/365</f>
        <v>133643.83561643836</v>
      </c>
      <c r="R21" s="5"/>
    </row>
    <row r="22" spans="1:18" x14ac:dyDescent="0.35">
      <c r="A22" s="17">
        <v>43271</v>
      </c>
      <c r="B22" s="22">
        <v>500000</v>
      </c>
      <c r="C22" s="2">
        <v>43271</v>
      </c>
      <c r="D22" s="2">
        <v>43536</v>
      </c>
      <c r="E22" s="3">
        <f>+D22-C22</f>
        <v>265</v>
      </c>
      <c r="F22" s="4">
        <v>0.18</v>
      </c>
      <c r="G22" s="5">
        <f>B22*E22*F22/365</f>
        <v>65342.465753424658</v>
      </c>
      <c r="H22" s="5"/>
      <c r="I22" s="14"/>
      <c r="K22" s="17">
        <v>43271</v>
      </c>
      <c r="L22" s="1">
        <v>500000</v>
      </c>
      <c r="M22" s="2">
        <v>43271</v>
      </c>
      <c r="N22" s="2">
        <v>43536</v>
      </c>
      <c r="O22" s="3">
        <f>+N22-M22</f>
        <v>265</v>
      </c>
      <c r="P22" s="4">
        <v>0.18</v>
      </c>
      <c r="Q22" s="5">
        <f>L22*O22*P22/365</f>
        <v>65342.465753424658</v>
      </c>
      <c r="R22" s="5"/>
    </row>
    <row r="23" spans="1:18" x14ac:dyDescent="0.35">
      <c r="A23" s="15"/>
      <c r="B23" s="21">
        <f>SUM(B21:B22)</f>
        <v>1500000</v>
      </c>
      <c r="C23" s="2"/>
      <c r="D23" s="2"/>
      <c r="E23" s="1"/>
      <c r="F23" s="1"/>
      <c r="G23" s="1"/>
      <c r="H23" s="1"/>
      <c r="K23" s="17"/>
      <c r="L23" s="1"/>
      <c r="M23" s="2"/>
      <c r="N23" s="2"/>
      <c r="O23" s="3"/>
      <c r="P23" s="4"/>
      <c r="Q23" s="5"/>
      <c r="R23" s="5"/>
    </row>
    <row r="24" spans="1:18" x14ac:dyDescent="0.35">
      <c r="A24" s="539" t="s">
        <v>11</v>
      </c>
      <c r="B24" s="541"/>
      <c r="C24" s="541"/>
      <c r="D24" s="541"/>
      <c r="E24" s="541"/>
      <c r="F24" s="540"/>
      <c r="G24" s="8">
        <f>SUM(G21:G23)</f>
        <v>198986.30136986301</v>
      </c>
      <c r="H24" s="8">
        <f>+G24+B23+750000</f>
        <v>2448986.3013698631</v>
      </c>
      <c r="I24" s="11"/>
      <c r="K24" s="15"/>
      <c r="L24" s="7">
        <f>SUM(L21:L22)</f>
        <v>1500000</v>
      </c>
      <c r="M24" s="2"/>
      <c r="N24" s="2"/>
      <c r="O24" s="1"/>
      <c r="P24" s="1"/>
      <c r="Q24" s="1"/>
      <c r="R24" s="1"/>
    </row>
    <row r="25" spans="1:18" x14ac:dyDescent="0.35">
      <c r="A25" s="543"/>
      <c r="B25" s="543"/>
      <c r="C25" s="543"/>
      <c r="D25" s="543"/>
      <c r="E25" s="543"/>
      <c r="F25" s="543"/>
      <c r="G25" s="8"/>
      <c r="H25" s="8"/>
      <c r="I25" s="11"/>
      <c r="K25" s="539" t="s">
        <v>11</v>
      </c>
      <c r="L25" s="541"/>
      <c r="M25" s="541"/>
      <c r="N25" s="541"/>
      <c r="O25" s="541"/>
      <c r="P25" s="540"/>
      <c r="Q25" s="8">
        <f>SUM(Q21:Q24)</f>
        <v>198986.30136986301</v>
      </c>
      <c r="R25" s="8">
        <f>+R16+R8</f>
        <v>3571623.7930958904</v>
      </c>
    </row>
    <row r="26" spans="1:18" ht="15" thickBot="1" x14ac:dyDescent="0.4">
      <c r="A26" s="10"/>
      <c r="B26" s="24" t="s">
        <v>15</v>
      </c>
      <c r="C26" s="10"/>
      <c r="D26" s="10"/>
      <c r="E26" s="10"/>
      <c r="F26" s="10"/>
      <c r="G26" s="11"/>
      <c r="H26" s="11"/>
      <c r="I26" s="11"/>
      <c r="K26" s="10"/>
      <c r="L26" s="10"/>
      <c r="M26" s="10"/>
      <c r="N26" s="10"/>
      <c r="O26" s="10"/>
      <c r="P26" s="10"/>
      <c r="Q26" s="11"/>
      <c r="R26" s="11"/>
    </row>
    <row r="27" spans="1:18" x14ac:dyDescent="0.35">
      <c r="A27" s="12"/>
      <c r="B27" s="21"/>
      <c r="C27" s="12" t="s">
        <v>21</v>
      </c>
      <c r="D27" s="12" t="s">
        <v>8</v>
      </c>
      <c r="E27" s="10"/>
      <c r="F27" s="10"/>
      <c r="G27" s="26" t="s">
        <v>26</v>
      </c>
      <c r="H27" s="27">
        <f>+H8+H14</f>
        <v>3351705.7095890408</v>
      </c>
      <c r="I27" s="11"/>
      <c r="K27" s="10"/>
      <c r="L27" s="10"/>
      <c r="M27" s="10"/>
      <c r="N27" s="10"/>
      <c r="O27" s="10"/>
      <c r="P27" s="10"/>
      <c r="Q27" s="11"/>
      <c r="R27" s="11"/>
    </row>
    <row r="28" spans="1:18" x14ac:dyDescent="0.35">
      <c r="A28" s="12" t="s">
        <v>16</v>
      </c>
      <c r="B28" s="13" t="s">
        <v>12</v>
      </c>
      <c r="C28" s="13"/>
      <c r="D28" s="12">
        <v>1026667</v>
      </c>
      <c r="E28" s="10"/>
      <c r="F28" s="10"/>
      <c r="G28" s="28" t="s">
        <v>20</v>
      </c>
      <c r="H28" s="29"/>
      <c r="I28" s="11"/>
      <c r="K28" s="10"/>
      <c r="L28" s="10"/>
      <c r="M28" s="10"/>
      <c r="N28" s="10"/>
      <c r="O28" s="10"/>
      <c r="P28" s="10"/>
      <c r="Q28" s="11"/>
      <c r="R28" s="11"/>
    </row>
    <row r="29" spans="1:18" x14ac:dyDescent="0.35">
      <c r="A29" s="12" t="s">
        <v>17</v>
      </c>
      <c r="B29" s="13" t="s">
        <v>12</v>
      </c>
      <c r="C29" s="13"/>
      <c r="D29" s="12">
        <v>1000000</v>
      </c>
      <c r="E29" s="10"/>
      <c r="F29" s="10"/>
      <c r="G29" s="28" t="s">
        <v>28</v>
      </c>
      <c r="H29" s="29">
        <f>+G24</f>
        <v>198986.30136986301</v>
      </c>
      <c r="I29" s="11"/>
      <c r="K29" s="10"/>
      <c r="L29" s="10"/>
      <c r="M29" s="10"/>
      <c r="N29" s="10"/>
      <c r="O29" s="10"/>
      <c r="P29" s="10"/>
      <c r="Q29" s="11"/>
      <c r="R29" s="11"/>
    </row>
    <row r="30" spans="1:18" x14ac:dyDescent="0.35">
      <c r="A30" s="12" t="s">
        <v>20</v>
      </c>
      <c r="B30" s="21"/>
      <c r="C30" s="12"/>
      <c r="D30" s="12"/>
      <c r="G30" s="28" t="s">
        <v>29</v>
      </c>
      <c r="H30" s="30">
        <f>+B23</f>
        <v>1500000</v>
      </c>
    </row>
    <row r="31" spans="1:18" x14ac:dyDescent="0.35">
      <c r="A31" s="12" t="s">
        <v>18</v>
      </c>
      <c r="B31" s="21" t="s">
        <v>21</v>
      </c>
      <c r="C31" s="12">
        <v>1000000</v>
      </c>
      <c r="D31" s="12"/>
      <c r="G31" s="31"/>
      <c r="H31" s="32"/>
      <c r="Q31" s="11">
        <f>+Q17-Q25</f>
        <v>736472.12186301372</v>
      </c>
    </row>
    <row r="32" spans="1:18" x14ac:dyDescent="0.35">
      <c r="A32" s="12" t="s">
        <v>19</v>
      </c>
      <c r="B32" s="21" t="s">
        <v>21</v>
      </c>
      <c r="C32" s="12">
        <v>500000</v>
      </c>
      <c r="D32" s="12"/>
      <c r="G32" s="28" t="s">
        <v>14</v>
      </c>
      <c r="H32" s="29">
        <f>+H27-H29-H30</f>
        <v>1652719.4082191777</v>
      </c>
      <c r="J32" s="14">
        <f>+Q17-G17</f>
        <v>219918.08350684936</v>
      </c>
    </row>
    <row r="33" spans="1:18" ht="15" thickBot="1" x14ac:dyDescent="0.4">
      <c r="A33" s="12"/>
      <c r="B33" s="21"/>
      <c r="C33" s="12"/>
      <c r="D33" s="12"/>
      <c r="G33" s="33" t="s">
        <v>30</v>
      </c>
      <c r="H33" s="32">
        <v>750000</v>
      </c>
      <c r="L33" t="s">
        <v>26</v>
      </c>
      <c r="N33" s="14">
        <f>+R25</f>
        <v>3571623.7930958904</v>
      </c>
    </row>
    <row r="34" spans="1:18" ht="15" thickBot="1" x14ac:dyDescent="0.4">
      <c r="A34" s="12"/>
      <c r="B34" s="21" t="s">
        <v>22</v>
      </c>
      <c r="C34" s="12">
        <f>+SUM(C31:C33)</f>
        <v>1500000</v>
      </c>
      <c r="D34" s="12">
        <f>+SUM(D28:D33)</f>
        <v>2026667</v>
      </c>
      <c r="G34" s="34" t="s">
        <v>14</v>
      </c>
      <c r="H34" s="35">
        <f>+H32-H33</f>
        <v>902719.40821917774</v>
      </c>
      <c r="L34" t="s">
        <v>27</v>
      </c>
    </row>
    <row r="35" spans="1:18" x14ac:dyDescent="0.35">
      <c r="G35" s="14"/>
      <c r="H35">
        <v>27000</v>
      </c>
      <c r="L35" t="s">
        <v>28</v>
      </c>
      <c r="N35">
        <v>-198986</v>
      </c>
    </row>
    <row r="36" spans="1:18" x14ac:dyDescent="0.35">
      <c r="H36" s="14">
        <f>+H34-H35</f>
        <v>875719.40821917774</v>
      </c>
      <c r="L36" t="s">
        <v>21</v>
      </c>
      <c r="N36">
        <v>-1500000</v>
      </c>
    </row>
    <row r="38" spans="1:18" x14ac:dyDescent="0.35">
      <c r="N38" s="9">
        <f>SUM(N32:N37)</f>
        <v>1872637.7930958904</v>
      </c>
    </row>
    <row r="39" spans="1:18" x14ac:dyDescent="0.35">
      <c r="G39" s="9" t="s">
        <v>31</v>
      </c>
      <c r="H39" s="9">
        <v>1124199</v>
      </c>
      <c r="N39">
        <v>750000</v>
      </c>
    </row>
    <row r="40" spans="1:18" x14ac:dyDescent="0.35">
      <c r="N40">
        <f>+N38-N39</f>
        <v>1122637.7930958904</v>
      </c>
    </row>
    <row r="41" spans="1:18" x14ac:dyDescent="0.35">
      <c r="G41" s="36" t="s">
        <v>32</v>
      </c>
      <c r="H41" s="36">
        <f>+H39-H34</f>
        <v>221479.59178082226</v>
      </c>
    </row>
    <row r="42" spans="1:18" x14ac:dyDescent="0.35">
      <c r="G42" s="14"/>
    </row>
    <row r="46" spans="1:18" x14ac:dyDescent="0.35">
      <c r="K46" s="16"/>
      <c r="L46" s="5">
        <f>+R45</f>
        <v>0</v>
      </c>
      <c r="M46" s="2">
        <f>+N45</f>
        <v>0</v>
      </c>
      <c r="N46" s="2">
        <v>43181</v>
      </c>
      <c r="O46" s="3">
        <f t="shared" ref="O46:O47" si="8">+N46-M46</f>
        <v>43181</v>
      </c>
      <c r="P46" s="4">
        <v>0.18</v>
      </c>
      <c r="Q46" s="5">
        <f t="shared" ref="Q46:Q47" si="9">L46*O46*P46/365</f>
        <v>0</v>
      </c>
      <c r="R46" s="5">
        <f t="shared" ref="R46:R47" si="10">+L46+Q46</f>
        <v>0</v>
      </c>
    </row>
    <row r="47" spans="1:18" x14ac:dyDescent="0.35">
      <c r="K47" s="16"/>
      <c r="L47" s="5">
        <f>+R46</f>
        <v>0</v>
      </c>
      <c r="M47" s="2">
        <f>+N46</f>
        <v>43181</v>
      </c>
      <c r="N47" s="2">
        <v>43536</v>
      </c>
      <c r="O47" s="3">
        <f t="shared" si="8"/>
        <v>355</v>
      </c>
      <c r="P47" s="4">
        <v>0.18</v>
      </c>
      <c r="Q47" s="5">
        <f t="shared" si="9"/>
        <v>0</v>
      </c>
      <c r="R47" s="8">
        <f t="shared" si="10"/>
        <v>0</v>
      </c>
    </row>
    <row r="48" spans="1:18" x14ac:dyDescent="0.35">
      <c r="A48" s="16"/>
      <c r="B48" s="23">
        <v>1000000</v>
      </c>
      <c r="C48" s="2">
        <v>42177</v>
      </c>
      <c r="D48" s="2">
        <v>42379</v>
      </c>
      <c r="E48" s="3">
        <f t="shared" ref="E48:E49" si="11">+D48-C48</f>
        <v>202</v>
      </c>
      <c r="F48" s="4">
        <v>0.24</v>
      </c>
      <c r="G48" s="5">
        <f t="shared" ref="G48:G49" si="12">B48*E48*F48/365</f>
        <v>132821.91780821918</v>
      </c>
      <c r="H48" s="5">
        <f t="shared" ref="H48:H49" si="13">+B48+G48</f>
        <v>1132821.9178082191</v>
      </c>
      <c r="I48" s="14"/>
    </row>
    <row r="49" spans="1:9" x14ac:dyDescent="0.35">
      <c r="A49" s="16"/>
      <c r="B49" s="23">
        <v>500000</v>
      </c>
      <c r="C49" s="2">
        <f>+D48</f>
        <v>42379</v>
      </c>
      <c r="D49" s="2">
        <v>42401</v>
      </c>
      <c r="E49" s="3">
        <f t="shared" si="11"/>
        <v>22</v>
      </c>
      <c r="F49" s="4">
        <v>0.24</v>
      </c>
      <c r="G49" s="5">
        <f t="shared" si="12"/>
        <v>7232.8767123287671</v>
      </c>
      <c r="H49" s="8">
        <f t="shared" si="13"/>
        <v>507232.87671232875</v>
      </c>
      <c r="I49" s="11"/>
    </row>
    <row r="51" spans="1:9" x14ac:dyDescent="0.35">
      <c r="G51" s="14">
        <f>+G48-G49</f>
        <v>125589.04109589041</v>
      </c>
    </row>
    <row r="60" spans="1:9" ht="18.5" x14ac:dyDescent="0.45">
      <c r="A60" s="542" t="s">
        <v>23</v>
      </c>
      <c r="B60" s="542"/>
      <c r="C60" s="542"/>
      <c r="D60" s="542"/>
      <c r="E60" s="542"/>
      <c r="F60" s="542"/>
      <c r="G60" s="542"/>
      <c r="H60" s="542"/>
    </row>
    <row r="62" spans="1:9" x14ac:dyDescent="0.35">
      <c r="A62" s="12" t="s">
        <v>1</v>
      </c>
      <c r="B62" s="21" t="s">
        <v>7</v>
      </c>
      <c r="C62" s="12" t="s">
        <v>2</v>
      </c>
      <c r="D62" s="12" t="s">
        <v>3</v>
      </c>
      <c r="E62" s="12" t="s">
        <v>4</v>
      </c>
      <c r="F62" s="12" t="s">
        <v>24</v>
      </c>
      <c r="G62" s="12" t="s">
        <v>6</v>
      </c>
      <c r="H62" s="12" t="s">
        <v>25</v>
      </c>
    </row>
    <row r="63" spans="1:9" x14ac:dyDescent="0.35">
      <c r="A63" s="15"/>
      <c r="B63" s="21" t="s">
        <v>8</v>
      </c>
      <c r="C63" s="1"/>
      <c r="D63" s="1"/>
      <c r="E63" s="1"/>
      <c r="F63" s="1"/>
      <c r="G63" s="1"/>
      <c r="H63" s="1"/>
    </row>
    <row r="64" spans="1:9" x14ac:dyDescent="0.35">
      <c r="A64" s="25">
        <v>1</v>
      </c>
      <c r="B64" s="22">
        <v>1000000</v>
      </c>
      <c r="C64" s="2">
        <v>42451</v>
      </c>
      <c r="D64" s="2">
        <v>42816</v>
      </c>
      <c r="E64" s="3">
        <f>+D64-C64</f>
        <v>365</v>
      </c>
      <c r="F64" s="4">
        <v>0.24</v>
      </c>
      <c r="G64" s="5">
        <f>B64*E64*F64/365</f>
        <v>240000</v>
      </c>
      <c r="H64" s="5">
        <f>+B64+G64</f>
        <v>1240000</v>
      </c>
    </row>
    <row r="65" spans="1:8" x14ac:dyDescent="0.35">
      <c r="A65" s="25"/>
      <c r="B65" s="23">
        <f>+H64</f>
        <v>1240000</v>
      </c>
      <c r="C65" s="2">
        <f>+D64</f>
        <v>42816</v>
      </c>
      <c r="D65" s="2">
        <v>43181</v>
      </c>
      <c r="E65" s="3">
        <f t="shared" ref="E65:E66" si="14">+D65-C65</f>
        <v>365</v>
      </c>
      <c r="F65" s="4">
        <v>0.24</v>
      </c>
      <c r="G65" s="5">
        <f t="shared" ref="G65:G66" si="15">B65*E65*F65/365</f>
        <v>297600</v>
      </c>
      <c r="H65" s="5">
        <f t="shared" ref="H65:H66" si="16">+B65+G65</f>
        <v>1537600</v>
      </c>
    </row>
    <row r="66" spans="1:8" x14ac:dyDescent="0.35">
      <c r="A66" s="25"/>
      <c r="B66" s="23">
        <f>+H65</f>
        <v>1537600</v>
      </c>
      <c r="C66" s="2">
        <f>+D65</f>
        <v>43181</v>
      </c>
      <c r="D66" s="2">
        <v>43536</v>
      </c>
      <c r="E66" s="3">
        <f t="shared" si="14"/>
        <v>355</v>
      </c>
      <c r="F66" s="4">
        <v>0.24</v>
      </c>
      <c r="G66" s="5">
        <f t="shared" si="15"/>
        <v>358913.75342465751</v>
      </c>
      <c r="H66" s="8">
        <f t="shared" si="16"/>
        <v>1896513.7534246575</v>
      </c>
    </row>
    <row r="67" spans="1:8" x14ac:dyDescent="0.35">
      <c r="A67" s="25"/>
      <c r="B67" s="23"/>
      <c r="C67" s="2"/>
      <c r="D67" s="2"/>
      <c r="E67" s="3"/>
      <c r="F67" s="4"/>
      <c r="G67" s="5"/>
      <c r="H67" s="8"/>
    </row>
    <row r="68" spans="1:8" x14ac:dyDescent="0.35">
      <c r="A68" s="25"/>
      <c r="B68" s="23"/>
      <c r="C68" s="2"/>
      <c r="D68" s="2"/>
      <c r="E68" s="19">
        <f>SUM(E64:E67)</f>
        <v>1085</v>
      </c>
      <c r="F68" s="4"/>
      <c r="G68" s="8">
        <f>+SUM(G64:G67)</f>
        <v>896513.75342465751</v>
      </c>
      <c r="H68" s="5"/>
    </row>
    <row r="69" spans="1:8" x14ac:dyDescent="0.35">
      <c r="A69" s="25"/>
      <c r="B69" s="22"/>
      <c r="C69" s="2"/>
      <c r="D69" s="2"/>
      <c r="E69" s="3"/>
      <c r="F69" s="4"/>
      <c r="G69" s="5"/>
      <c r="H69" s="5"/>
    </row>
    <row r="70" spans="1:8" x14ac:dyDescent="0.35">
      <c r="A70" s="25">
        <v>2</v>
      </c>
      <c r="B70" s="22">
        <v>1000000</v>
      </c>
      <c r="C70" s="2">
        <v>42631</v>
      </c>
      <c r="D70" s="2">
        <v>42996</v>
      </c>
      <c r="E70" s="3">
        <f t="shared" ref="E70:E72" si="17">+D70-C70</f>
        <v>365</v>
      </c>
      <c r="F70" s="4">
        <v>0.18</v>
      </c>
      <c r="G70" s="5">
        <f t="shared" ref="G70:G72" si="18">B70*E70*F70/365</f>
        <v>180000</v>
      </c>
      <c r="H70" s="5">
        <f>+B70+G70</f>
        <v>1180000</v>
      </c>
    </row>
    <row r="71" spans="1:8" x14ac:dyDescent="0.35">
      <c r="A71" s="25"/>
      <c r="B71" s="23">
        <f>+H70</f>
        <v>1180000</v>
      </c>
      <c r="C71" s="2">
        <f>+D70</f>
        <v>42996</v>
      </c>
      <c r="D71" s="2">
        <v>43361</v>
      </c>
      <c r="E71" s="3">
        <f t="shared" si="17"/>
        <v>365</v>
      </c>
      <c r="F71" s="4">
        <v>0.18</v>
      </c>
      <c r="G71" s="5">
        <f t="shared" si="18"/>
        <v>212400</v>
      </c>
      <c r="H71" s="5">
        <f>+G71+B71</f>
        <v>1392400</v>
      </c>
    </row>
    <row r="72" spans="1:8" x14ac:dyDescent="0.35">
      <c r="A72" s="16"/>
      <c r="B72" s="23">
        <f>+H71</f>
        <v>1392400</v>
      </c>
      <c r="C72" s="2">
        <f>+D71</f>
        <v>43361</v>
      </c>
      <c r="D72" s="2">
        <v>43536</v>
      </c>
      <c r="E72" s="3">
        <f t="shared" si="17"/>
        <v>175</v>
      </c>
      <c r="F72" s="4">
        <v>0.18</v>
      </c>
      <c r="G72" s="5">
        <f t="shared" si="18"/>
        <v>120166.02739726027</v>
      </c>
      <c r="H72" s="8">
        <f>+G72+B72</f>
        <v>1512566.0273972603</v>
      </c>
    </row>
    <row r="73" spans="1:8" x14ac:dyDescent="0.35">
      <c r="A73" s="16"/>
      <c r="B73" s="23"/>
      <c r="C73" s="2"/>
      <c r="D73" s="2"/>
      <c r="E73" s="3"/>
      <c r="F73" s="4"/>
      <c r="G73" s="5"/>
      <c r="H73" s="8"/>
    </row>
    <row r="74" spans="1:8" x14ac:dyDescent="0.35">
      <c r="A74" s="16"/>
      <c r="B74" s="22"/>
      <c r="C74" s="2"/>
      <c r="D74" s="2"/>
      <c r="E74" s="19">
        <f>SUM(E70:E72)</f>
        <v>905</v>
      </c>
      <c r="F74" s="4"/>
      <c r="G74" s="5"/>
      <c r="H74" s="5"/>
    </row>
    <row r="75" spans="1:8" x14ac:dyDescent="0.35">
      <c r="A75" s="539" t="s">
        <v>22</v>
      </c>
      <c r="B75" s="541"/>
      <c r="C75" s="541"/>
      <c r="D75" s="541"/>
      <c r="E75" s="541"/>
      <c r="F75" s="540"/>
      <c r="G75" s="8">
        <f>SUM(G70:G74)</f>
        <v>512566.0273972603</v>
      </c>
      <c r="H75" s="8"/>
    </row>
    <row r="77" spans="1:8" x14ac:dyDescent="0.35">
      <c r="A77" s="12" t="s">
        <v>1</v>
      </c>
      <c r="B77" s="21" t="s">
        <v>7</v>
      </c>
      <c r="C77" s="12" t="s">
        <v>2</v>
      </c>
      <c r="D77" s="12" t="s">
        <v>3</v>
      </c>
      <c r="E77" s="12" t="s">
        <v>4</v>
      </c>
      <c r="F77" s="12" t="s">
        <v>5</v>
      </c>
      <c r="G77" s="12" t="s">
        <v>6</v>
      </c>
      <c r="H77" s="12"/>
    </row>
    <row r="78" spans="1:8" x14ac:dyDescent="0.35">
      <c r="A78" s="15"/>
      <c r="B78" s="21" t="s">
        <v>9</v>
      </c>
      <c r="C78" s="1"/>
      <c r="D78" s="1"/>
      <c r="E78" s="1"/>
      <c r="F78" s="1"/>
      <c r="G78" s="1"/>
      <c r="H78" s="1"/>
    </row>
    <row r="79" spans="1:8" x14ac:dyDescent="0.35">
      <c r="A79" s="17">
        <v>43265</v>
      </c>
      <c r="B79" s="22">
        <v>1000000</v>
      </c>
      <c r="C79" s="2">
        <v>43265</v>
      </c>
      <c r="D79" s="2">
        <v>43536</v>
      </c>
      <c r="E79" s="3">
        <f>+D79-C79</f>
        <v>271</v>
      </c>
      <c r="F79" s="4">
        <v>0.18</v>
      </c>
      <c r="G79" s="5">
        <f>B79*E79*F79/365</f>
        <v>133643.83561643836</v>
      </c>
      <c r="H79" s="5"/>
    </row>
    <row r="80" spans="1:8" x14ac:dyDescent="0.35">
      <c r="A80" s="17">
        <v>43271</v>
      </c>
      <c r="B80" s="22">
        <v>500000</v>
      </c>
      <c r="C80" s="2">
        <v>43271</v>
      </c>
      <c r="D80" s="2">
        <v>43536</v>
      </c>
      <c r="E80" s="3">
        <f>+D80-C80</f>
        <v>265</v>
      </c>
      <c r="F80" s="4">
        <v>0.24</v>
      </c>
      <c r="G80" s="5">
        <f>B80*E80*F80/365</f>
        <v>87123.287671232873</v>
      </c>
      <c r="H80" s="5"/>
    </row>
    <row r="81" spans="1:8" x14ac:dyDescent="0.35">
      <c r="A81" s="15"/>
      <c r="B81" s="21">
        <f>SUM(B79:B80)</f>
        <v>1500000</v>
      </c>
      <c r="C81" s="2"/>
      <c r="D81" s="2"/>
      <c r="E81" s="1"/>
      <c r="F81" s="1"/>
      <c r="G81" s="1"/>
      <c r="H81" s="1"/>
    </row>
    <row r="82" spans="1:8" x14ac:dyDescent="0.35">
      <c r="A82" s="539" t="s">
        <v>11</v>
      </c>
      <c r="B82" s="541"/>
      <c r="C82" s="541"/>
      <c r="D82" s="541"/>
      <c r="E82" s="541"/>
      <c r="F82" s="540"/>
      <c r="G82" s="8">
        <f>SUM(G79:G81)</f>
        <v>220767.12328767125</v>
      </c>
      <c r="H82" s="8"/>
    </row>
    <row r="85" spans="1:8" ht="15" thickBot="1" x14ac:dyDescent="0.4"/>
    <row r="86" spans="1:8" x14ac:dyDescent="0.35">
      <c r="G86" s="26" t="s">
        <v>26</v>
      </c>
      <c r="H86" s="27">
        <f>+H66+H72</f>
        <v>3409079.7808219176</v>
      </c>
    </row>
    <row r="87" spans="1:8" x14ac:dyDescent="0.35">
      <c r="G87" s="28" t="s">
        <v>20</v>
      </c>
      <c r="H87" s="29"/>
    </row>
    <row r="88" spans="1:8" x14ac:dyDescent="0.35">
      <c r="G88" s="28" t="s">
        <v>28</v>
      </c>
      <c r="H88" s="29">
        <f>+G82</f>
        <v>220767.12328767125</v>
      </c>
    </row>
    <row r="89" spans="1:8" x14ac:dyDescent="0.35">
      <c r="G89" s="28" t="s">
        <v>29</v>
      </c>
      <c r="H89" s="30">
        <f>+B81</f>
        <v>1500000</v>
      </c>
    </row>
    <row r="90" spans="1:8" x14ac:dyDescent="0.35">
      <c r="G90" s="31"/>
      <c r="H90" s="32"/>
    </row>
    <row r="91" spans="1:8" x14ac:dyDescent="0.35">
      <c r="G91" s="28" t="s">
        <v>14</v>
      </c>
      <c r="H91" s="29">
        <f>+H86-H88-H89</f>
        <v>1688312.6575342463</v>
      </c>
    </row>
    <row r="92" spans="1:8" ht="15" thickBot="1" x14ac:dyDescent="0.4">
      <c r="G92" s="33" t="s">
        <v>30</v>
      </c>
      <c r="H92" s="32">
        <v>750000</v>
      </c>
    </row>
    <row r="93" spans="1:8" ht="15" thickBot="1" x14ac:dyDescent="0.4">
      <c r="G93" s="34" t="s">
        <v>14</v>
      </c>
      <c r="H93" s="35">
        <f>+H91-H92</f>
        <v>938312.65753424633</v>
      </c>
    </row>
    <row r="102" spans="1:8" ht="18.5" x14ac:dyDescent="0.45">
      <c r="A102" s="542" t="s">
        <v>23</v>
      </c>
      <c r="B102" s="542"/>
      <c r="C102" s="542"/>
      <c r="D102" s="542"/>
      <c r="E102" s="542"/>
      <c r="F102" s="542"/>
      <c r="G102" s="542"/>
      <c r="H102" s="542"/>
    </row>
    <row r="104" spans="1:8" x14ac:dyDescent="0.35">
      <c r="A104" s="12" t="s">
        <v>1</v>
      </c>
      <c r="B104" s="21" t="s">
        <v>7</v>
      </c>
      <c r="C104" s="12" t="s">
        <v>2</v>
      </c>
      <c r="D104" s="12" t="s">
        <v>3</v>
      </c>
      <c r="E104" s="12" t="s">
        <v>4</v>
      </c>
      <c r="F104" s="12" t="s">
        <v>24</v>
      </c>
      <c r="G104" s="12" t="s">
        <v>6</v>
      </c>
      <c r="H104" s="12" t="s">
        <v>25</v>
      </c>
    </row>
    <row r="105" spans="1:8" x14ac:dyDescent="0.35">
      <c r="A105" s="15"/>
      <c r="B105" s="21" t="s">
        <v>8</v>
      </c>
      <c r="C105" s="1"/>
      <c r="D105" s="1"/>
      <c r="E105" s="1"/>
      <c r="F105" s="1"/>
      <c r="G105" s="1"/>
      <c r="H105" s="1"/>
    </row>
    <row r="106" spans="1:8" x14ac:dyDescent="0.35">
      <c r="A106" s="25">
        <v>1</v>
      </c>
      <c r="B106" s="22">
        <v>1000000</v>
      </c>
      <c r="C106" s="2">
        <v>42451</v>
      </c>
      <c r="D106" s="2">
        <v>42816</v>
      </c>
      <c r="E106" s="3">
        <f>+D106-C106</f>
        <v>365</v>
      </c>
      <c r="F106" s="4">
        <v>0.18</v>
      </c>
      <c r="G106" s="5">
        <f>B106*E106*F106/365</f>
        <v>180000</v>
      </c>
      <c r="H106" s="5">
        <f>+B106+G106</f>
        <v>1180000</v>
      </c>
    </row>
    <row r="107" spans="1:8" x14ac:dyDescent="0.35">
      <c r="A107" s="25"/>
      <c r="B107" s="23">
        <f>+H106</f>
        <v>1180000</v>
      </c>
      <c r="C107" s="2">
        <f>+D106</f>
        <v>42816</v>
      </c>
      <c r="D107" s="2">
        <v>43181</v>
      </c>
      <c r="E107" s="3">
        <f t="shared" ref="E107:E108" si="19">+D107-C107</f>
        <v>365</v>
      </c>
      <c r="F107" s="4">
        <v>0.18</v>
      </c>
      <c r="G107" s="5">
        <f t="shared" ref="G107:G108" si="20">B107*E107*F107/365</f>
        <v>212400</v>
      </c>
      <c r="H107" s="5">
        <f t="shared" ref="H107:H108" si="21">+B107+G107</f>
        <v>1392400</v>
      </c>
    </row>
    <row r="108" spans="1:8" x14ac:dyDescent="0.35">
      <c r="A108" s="25"/>
      <c r="B108" s="23">
        <f>+H107</f>
        <v>1392400</v>
      </c>
      <c r="C108" s="2">
        <f>+D107</f>
        <v>43181</v>
      </c>
      <c r="D108" s="2">
        <v>43546</v>
      </c>
      <c r="E108" s="3">
        <f t="shared" si="19"/>
        <v>365</v>
      </c>
      <c r="F108" s="4">
        <v>0.18</v>
      </c>
      <c r="G108" s="5">
        <f t="shared" si="20"/>
        <v>250632</v>
      </c>
      <c r="H108" s="5">
        <f t="shared" si="21"/>
        <v>1643032</v>
      </c>
    </row>
    <row r="109" spans="1:8" x14ac:dyDescent="0.35">
      <c r="A109" s="25"/>
      <c r="B109" s="23">
        <f>+H108</f>
        <v>1643032</v>
      </c>
      <c r="C109" s="2">
        <f>+D108</f>
        <v>43546</v>
      </c>
      <c r="D109" s="2">
        <v>43911</v>
      </c>
      <c r="E109" s="3">
        <f t="shared" ref="E109:E110" si="22">+D109-C109</f>
        <v>365</v>
      </c>
      <c r="F109" s="4">
        <v>0.18</v>
      </c>
      <c r="G109" s="5">
        <f t="shared" ref="G109" si="23">B109*E109*F109/365</f>
        <v>295745.75999999995</v>
      </c>
      <c r="H109" s="5">
        <f t="shared" ref="H109" si="24">+B109+G109</f>
        <v>1938777.76</v>
      </c>
    </row>
    <row r="110" spans="1:8" x14ac:dyDescent="0.35">
      <c r="A110" s="25"/>
      <c r="B110" s="23">
        <f>+H109</f>
        <v>1938777.76</v>
      </c>
      <c r="C110" s="2">
        <f>+D109</f>
        <v>43911</v>
      </c>
      <c r="D110" s="2">
        <v>43921</v>
      </c>
      <c r="E110" s="3">
        <f t="shared" si="22"/>
        <v>10</v>
      </c>
      <c r="F110" s="4">
        <v>0.18</v>
      </c>
      <c r="G110" s="5">
        <f t="shared" ref="G110" si="25">B110*E110*F110/365</f>
        <v>9561.0958027397264</v>
      </c>
      <c r="H110" s="8">
        <f t="shared" ref="H110" si="26">+B110+G110</f>
        <v>1948338.8558027397</v>
      </c>
    </row>
    <row r="111" spans="1:8" x14ac:dyDescent="0.35">
      <c r="A111" s="25"/>
      <c r="B111" s="23"/>
      <c r="C111" s="2"/>
      <c r="D111" s="2"/>
      <c r="E111" s="19">
        <f>SUM(E106:E110)</f>
        <v>1470</v>
      </c>
      <c r="F111" s="4"/>
      <c r="G111" s="8">
        <f>SUM(G106:G110)</f>
        <v>948338.85580273974</v>
      </c>
      <c r="H111" s="5"/>
    </row>
    <row r="112" spans="1:8" x14ac:dyDescent="0.35">
      <c r="A112" s="25"/>
      <c r="B112" s="22"/>
      <c r="C112" s="2"/>
      <c r="D112" s="2"/>
      <c r="E112" s="3"/>
      <c r="F112" s="4"/>
      <c r="G112" s="5"/>
      <c r="H112" s="5"/>
    </row>
    <row r="113" spans="1:8" x14ac:dyDescent="0.35">
      <c r="A113" s="25">
        <v>2</v>
      </c>
      <c r="B113" s="22">
        <v>1000000</v>
      </c>
      <c r="C113" s="2">
        <v>42630</v>
      </c>
      <c r="D113" s="2">
        <v>42995</v>
      </c>
      <c r="E113" s="3">
        <f t="shared" ref="E113:E115" si="27">+D113-C113</f>
        <v>365</v>
      </c>
      <c r="F113" s="4">
        <v>0.24</v>
      </c>
      <c r="G113" s="5">
        <f t="shared" ref="G113:G115" si="28">B113*E113*F113/365</f>
        <v>240000</v>
      </c>
      <c r="H113" s="5">
        <f>+B113+G113</f>
        <v>1240000</v>
      </c>
    </row>
    <row r="114" spans="1:8" x14ac:dyDescent="0.35">
      <c r="A114" s="25"/>
      <c r="B114" s="23">
        <f>+H113</f>
        <v>1240000</v>
      </c>
      <c r="C114" s="2">
        <f>+D113</f>
        <v>42995</v>
      </c>
      <c r="D114" s="2">
        <v>43360</v>
      </c>
      <c r="E114" s="3">
        <f t="shared" si="27"/>
        <v>365</v>
      </c>
      <c r="F114" s="4">
        <v>0.24</v>
      </c>
      <c r="G114" s="5">
        <f t="shared" si="28"/>
        <v>297600</v>
      </c>
      <c r="H114" s="5">
        <f>+G114+B114</f>
        <v>1537600</v>
      </c>
    </row>
    <row r="115" spans="1:8" x14ac:dyDescent="0.35">
      <c r="A115" s="16"/>
      <c r="B115" s="23">
        <f>+H114</f>
        <v>1537600</v>
      </c>
      <c r="C115" s="2">
        <f>+D114</f>
        <v>43360</v>
      </c>
      <c r="D115" s="2">
        <v>43725</v>
      </c>
      <c r="E115" s="3">
        <f t="shared" si="27"/>
        <v>365</v>
      </c>
      <c r="F115" s="4">
        <v>0.24</v>
      </c>
      <c r="G115" s="5">
        <f t="shared" si="28"/>
        <v>369024</v>
      </c>
      <c r="H115" s="5">
        <f>+G115+B115</f>
        <v>1906624</v>
      </c>
    </row>
    <row r="116" spans="1:8" x14ac:dyDescent="0.35">
      <c r="A116" s="16"/>
      <c r="B116" s="23">
        <f>+H115</f>
        <v>1906624</v>
      </c>
      <c r="C116" s="2">
        <f>+D115</f>
        <v>43725</v>
      </c>
      <c r="D116" s="2">
        <v>43921</v>
      </c>
      <c r="E116" s="3">
        <f t="shared" ref="E116" si="29">+D116-C116</f>
        <v>196</v>
      </c>
      <c r="F116" s="4">
        <v>0.24</v>
      </c>
      <c r="G116" s="5">
        <f t="shared" ref="G116" si="30">B116*E116*F116/365</f>
        <v>245719.43276712327</v>
      </c>
      <c r="H116" s="8">
        <f>+G116+B116</f>
        <v>2152343.4327671234</v>
      </c>
    </row>
    <row r="117" spans="1:8" x14ac:dyDescent="0.35">
      <c r="A117" s="16"/>
      <c r="B117" s="23"/>
      <c r="C117" s="2"/>
      <c r="D117" s="2"/>
      <c r="E117" s="3"/>
      <c r="F117" s="4"/>
      <c r="G117" s="5"/>
      <c r="H117" s="8"/>
    </row>
    <row r="118" spans="1:8" x14ac:dyDescent="0.35">
      <c r="A118" s="16"/>
      <c r="B118" s="23"/>
      <c r="C118" s="2"/>
      <c r="D118" s="2"/>
      <c r="E118" s="19">
        <f>SUM(E113:E115)</f>
        <v>1095</v>
      </c>
      <c r="F118" s="4"/>
      <c r="G118" s="8">
        <f>SUM(G113:G117)</f>
        <v>1152343.4327671232</v>
      </c>
      <c r="H118" s="8"/>
    </row>
    <row r="119" spans="1:8" x14ac:dyDescent="0.35">
      <c r="A119" s="16"/>
      <c r="B119" s="22"/>
      <c r="C119" s="2"/>
      <c r="D119" s="2"/>
      <c r="E119" s="19"/>
      <c r="F119" s="4"/>
      <c r="G119" s="5"/>
      <c r="H119" s="5"/>
    </row>
    <row r="120" spans="1:8" x14ac:dyDescent="0.35">
      <c r="A120" s="539" t="s">
        <v>22</v>
      </c>
      <c r="B120" s="541"/>
      <c r="C120" s="541"/>
      <c r="D120" s="541"/>
      <c r="E120" s="541"/>
      <c r="F120" s="540"/>
      <c r="G120" s="8">
        <f>+G118+G111</f>
        <v>2100682.288569863</v>
      </c>
      <c r="H120" s="8">
        <f>+H115+H109</f>
        <v>3845401.76</v>
      </c>
    </row>
    <row r="122" spans="1:8" x14ac:dyDescent="0.35">
      <c r="A122" s="12" t="s">
        <v>1</v>
      </c>
      <c r="B122" s="21" t="s">
        <v>7</v>
      </c>
      <c r="C122" s="12" t="s">
        <v>2</v>
      </c>
      <c r="D122" s="12" t="s">
        <v>3</v>
      </c>
      <c r="E122" s="12" t="s">
        <v>4</v>
      </c>
      <c r="F122" s="12" t="s">
        <v>5</v>
      </c>
      <c r="G122" s="12" t="s">
        <v>6</v>
      </c>
      <c r="H122" s="12"/>
    </row>
    <row r="123" spans="1:8" x14ac:dyDescent="0.35">
      <c r="A123" s="15"/>
      <c r="B123" s="21" t="s">
        <v>9</v>
      </c>
      <c r="C123" s="1"/>
      <c r="D123" s="1"/>
      <c r="E123" s="1"/>
      <c r="F123" s="1"/>
      <c r="G123" s="1"/>
      <c r="H123" s="1"/>
    </row>
    <row r="124" spans="1:8" x14ac:dyDescent="0.35">
      <c r="A124" s="49">
        <v>43265</v>
      </c>
      <c r="B124" s="50">
        <v>1000000</v>
      </c>
      <c r="C124" s="2">
        <v>43265</v>
      </c>
      <c r="D124" s="2">
        <v>43630</v>
      </c>
      <c r="E124" s="3">
        <f t="shared" ref="E124:E131" si="31">+D124-C124</f>
        <v>365</v>
      </c>
      <c r="F124" s="4">
        <v>0.18</v>
      </c>
      <c r="G124" s="5">
        <f t="shared" ref="G124:G131" si="32">B124*E124*F124/365</f>
        <v>180000</v>
      </c>
      <c r="H124" s="5"/>
    </row>
    <row r="125" spans="1:8" x14ac:dyDescent="0.35">
      <c r="A125" s="17"/>
      <c r="B125" s="23">
        <f>+B124+G124</f>
        <v>1180000</v>
      </c>
      <c r="C125" s="2">
        <f>+D124</f>
        <v>43630</v>
      </c>
      <c r="D125" s="2">
        <v>43921</v>
      </c>
      <c r="E125" s="3">
        <f t="shared" si="31"/>
        <v>291</v>
      </c>
      <c r="F125" s="4">
        <v>0.18</v>
      </c>
      <c r="G125" s="5">
        <f t="shared" si="32"/>
        <v>169338.08219178082</v>
      </c>
      <c r="H125" s="5"/>
    </row>
    <row r="126" spans="1:8" x14ac:dyDescent="0.35">
      <c r="A126" s="17"/>
      <c r="B126" s="23"/>
      <c r="C126" s="2"/>
      <c r="D126" s="2"/>
      <c r="E126" s="3"/>
      <c r="F126" s="4"/>
      <c r="G126" s="5"/>
      <c r="H126" s="5"/>
    </row>
    <row r="127" spans="1:8" x14ac:dyDescent="0.35">
      <c r="A127" s="49">
        <v>43271</v>
      </c>
      <c r="B127" s="50">
        <v>500000</v>
      </c>
      <c r="C127" s="2">
        <v>43271</v>
      </c>
      <c r="D127" s="2">
        <v>43636</v>
      </c>
      <c r="E127" s="3">
        <f t="shared" si="31"/>
        <v>365</v>
      </c>
      <c r="F127" s="4">
        <v>0.18</v>
      </c>
      <c r="G127" s="5">
        <f t="shared" si="32"/>
        <v>90000</v>
      </c>
      <c r="H127" s="5"/>
    </row>
    <row r="128" spans="1:8" x14ac:dyDescent="0.35">
      <c r="A128" s="17"/>
      <c r="B128" s="23">
        <f>+B127+G127</f>
        <v>590000</v>
      </c>
      <c r="C128" s="2">
        <f>+D127</f>
        <v>43636</v>
      </c>
      <c r="D128" s="2">
        <v>43921</v>
      </c>
      <c r="E128" s="3">
        <f t="shared" si="31"/>
        <v>285</v>
      </c>
      <c r="F128" s="4">
        <v>0.18</v>
      </c>
      <c r="G128" s="5">
        <f t="shared" si="32"/>
        <v>82923.287671232873</v>
      </c>
      <c r="H128" s="5"/>
    </row>
    <row r="129" spans="1:10" x14ac:dyDescent="0.35">
      <c r="A129" s="17"/>
      <c r="B129" s="23"/>
      <c r="C129" s="2"/>
      <c r="D129" s="2"/>
      <c r="E129" s="3"/>
      <c r="F129" s="4"/>
      <c r="G129" s="5"/>
      <c r="H129" s="5"/>
    </row>
    <row r="130" spans="1:10" x14ac:dyDescent="0.35">
      <c r="A130" s="49">
        <v>43536</v>
      </c>
      <c r="B130" s="51">
        <v>750000</v>
      </c>
      <c r="C130" s="2">
        <v>43536</v>
      </c>
      <c r="D130" s="2">
        <v>43707</v>
      </c>
      <c r="E130" s="3">
        <f t="shared" si="31"/>
        <v>171</v>
      </c>
      <c r="F130" s="4">
        <v>0.18</v>
      </c>
      <c r="G130" s="5">
        <f t="shared" si="32"/>
        <v>63246.575342465752</v>
      </c>
      <c r="H130" s="5"/>
    </row>
    <row r="131" spans="1:10" x14ac:dyDescent="0.35">
      <c r="A131" s="49">
        <v>43577</v>
      </c>
      <c r="B131" s="51">
        <v>250000</v>
      </c>
      <c r="C131" s="2">
        <v>43577</v>
      </c>
      <c r="D131" s="2">
        <v>43921</v>
      </c>
      <c r="E131" s="3">
        <f t="shared" si="31"/>
        <v>344</v>
      </c>
      <c r="F131" s="4">
        <v>0.18</v>
      </c>
      <c r="G131" s="5">
        <f t="shared" si="32"/>
        <v>42410.95890410959</v>
      </c>
      <c r="H131" s="5"/>
    </row>
    <row r="132" spans="1:10" x14ac:dyDescent="0.35">
      <c r="A132" s="49"/>
      <c r="B132" s="51"/>
      <c r="C132" s="2"/>
      <c r="D132" s="2"/>
      <c r="E132" s="3"/>
      <c r="F132" s="4"/>
      <c r="G132" s="5"/>
      <c r="H132" s="5"/>
    </row>
    <row r="133" spans="1:10" x14ac:dyDescent="0.35">
      <c r="A133" s="15"/>
      <c r="B133" s="44">
        <f>+B124+B127+B130+B131</f>
        <v>2500000</v>
      </c>
      <c r="C133" s="2"/>
      <c r="D133" s="2"/>
      <c r="E133" s="1"/>
      <c r="F133" s="1"/>
      <c r="G133" s="1"/>
      <c r="H133" s="1"/>
    </row>
    <row r="134" spans="1:10" x14ac:dyDescent="0.35">
      <c r="A134" s="539" t="s">
        <v>11</v>
      </c>
      <c r="B134" s="541"/>
      <c r="C134" s="541"/>
      <c r="D134" s="541"/>
      <c r="E134" s="541"/>
      <c r="F134" s="540"/>
      <c r="G134" s="8">
        <f>SUM(G124:G133)</f>
        <v>627918.90410958894</v>
      </c>
      <c r="H134" s="8">
        <f>+G134+B133</f>
        <v>3127918.9041095888</v>
      </c>
    </row>
    <row r="135" spans="1:10" x14ac:dyDescent="0.35">
      <c r="A135" s="543"/>
      <c r="B135" s="543"/>
      <c r="C135" s="543"/>
      <c r="D135" s="543"/>
      <c r="E135" s="543"/>
      <c r="F135" s="543"/>
      <c r="G135" s="8"/>
      <c r="H135" s="8"/>
    </row>
    <row r="136" spans="1:10" ht="15" thickBot="1" x14ac:dyDescent="0.4">
      <c r="A136" s="10"/>
      <c r="B136" s="24" t="s">
        <v>15</v>
      </c>
      <c r="C136" s="10"/>
      <c r="D136" s="10"/>
      <c r="E136" s="10"/>
      <c r="F136" s="10"/>
      <c r="G136" s="11"/>
      <c r="H136" s="11"/>
    </row>
    <row r="137" spans="1:10" x14ac:dyDescent="0.35">
      <c r="A137" s="12"/>
      <c r="B137" s="21"/>
      <c r="C137" s="12" t="s">
        <v>21</v>
      </c>
      <c r="D137" s="12" t="s">
        <v>8</v>
      </c>
      <c r="E137" s="10"/>
      <c r="F137" s="10"/>
      <c r="G137" s="26" t="s">
        <v>26</v>
      </c>
      <c r="H137" s="27">
        <f>+H109+H115</f>
        <v>3845401.76</v>
      </c>
    </row>
    <row r="138" spans="1:10" x14ac:dyDescent="0.35">
      <c r="A138" s="12" t="s">
        <v>16</v>
      </c>
      <c r="B138" s="13" t="s">
        <v>12</v>
      </c>
      <c r="C138" s="13"/>
      <c r="D138" s="12">
        <v>1000000</v>
      </c>
      <c r="E138" s="10"/>
      <c r="F138" s="10"/>
      <c r="G138" s="28" t="s">
        <v>20</v>
      </c>
      <c r="H138" s="29"/>
    </row>
    <row r="139" spans="1:10" x14ac:dyDescent="0.35">
      <c r="A139" s="12" t="s">
        <v>17</v>
      </c>
      <c r="B139" s="13" t="s">
        <v>12</v>
      </c>
      <c r="C139" s="13"/>
      <c r="D139" s="12">
        <v>1000000</v>
      </c>
      <c r="E139" s="10"/>
      <c r="F139" s="10"/>
      <c r="G139" s="28" t="s">
        <v>28</v>
      </c>
      <c r="H139" s="29">
        <f>+G134</f>
        <v>627918.90410958894</v>
      </c>
    </row>
    <row r="140" spans="1:10" x14ac:dyDescent="0.35">
      <c r="A140" s="12" t="s">
        <v>20</v>
      </c>
      <c r="B140" s="539"/>
      <c r="C140" s="540"/>
      <c r="D140" s="12"/>
      <c r="G140" s="28" t="s">
        <v>21</v>
      </c>
      <c r="H140" s="29">
        <f>+B133</f>
        <v>2500000</v>
      </c>
    </row>
    <row r="141" spans="1:10" ht="15" thickBot="1" x14ac:dyDescent="0.4">
      <c r="A141" s="12" t="s">
        <v>18</v>
      </c>
      <c r="B141" s="21" t="s">
        <v>21</v>
      </c>
      <c r="C141" s="12">
        <v>1000000</v>
      </c>
      <c r="D141" s="12"/>
      <c r="G141" s="31"/>
      <c r="H141" s="52"/>
      <c r="J141">
        <v>902719</v>
      </c>
    </row>
    <row r="142" spans="1:10" ht="15" thickBot="1" x14ac:dyDescent="0.4">
      <c r="A142" s="12" t="s">
        <v>19</v>
      </c>
      <c r="B142" s="21" t="s">
        <v>21</v>
      </c>
      <c r="C142" s="12">
        <v>500000</v>
      </c>
      <c r="D142" s="12"/>
      <c r="G142" s="34" t="s">
        <v>14</v>
      </c>
      <c r="H142" s="53">
        <f>+H137-H139-H140</f>
        <v>717482.85589041095</v>
      </c>
      <c r="J142" s="14">
        <f>+J141-H142</f>
        <v>185236.14410958905</v>
      </c>
    </row>
    <row r="143" spans="1:10" x14ac:dyDescent="0.35">
      <c r="A143" s="12" t="s">
        <v>36</v>
      </c>
      <c r="B143" s="21" t="s">
        <v>21</v>
      </c>
      <c r="C143" s="12">
        <v>750000</v>
      </c>
      <c r="D143" s="12"/>
    </row>
    <row r="144" spans="1:10" x14ac:dyDescent="0.35">
      <c r="A144" s="12" t="s">
        <v>37</v>
      </c>
      <c r="B144" s="21" t="s">
        <v>21</v>
      </c>
      <c r="C144" s="12">
        <v>250000</v>
      </c>
      <c r="D144" s="12"/>
    </row>
    <row r="145" spans="1:8" x14ac:dyDescent="0.35">
      <c r="A145" s="12"/>
      <c r="B145" s="21" t="s">
        <v>22</v>
      </c>
      <c r="C145" s="12">
        <f>+SUM(C141:C144)</f>
        <v>2500000</v>
      </c>
      <c r="D145" s="12">
        <f>+SUM(D138:D143)</f>
        <v>2000000</v>
      </c>
      <c r="H145" s="14"/>
    </row>
  </sheetData>
  <mergeCells count="15">
    <mergeCell ref="B140:C140"/>
    <mergeCell ref="K25:P25"/>
    <mergeCell ref="A2:H2"/>
    <mergeCell ref="K2:R2"/>
    <mergeCell ref="A17:F17"/>
    <mergeCell ref="K17:P17"/>
    <mergeCell ref="A24:F24"/>
    <mergeCell ref="A25:F25"/>
    <mergeCell ref="A102:H102"/>
    <mergeCell ref="A120:F120"/>
    <mergeCell ref="A134:F134"/>
    <mergeCell ref="A135:F135"/>
    <mergeCell ref="A60:H60"/>
    <mergeCell ref="A75:F75"/>
    <mergeCell ref="A82:F82"/>
  </mergeCells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A180"/>
  <sheetViews>
    <sheetView topLeftCell="A179" zoomScaleNormal="100" workbookViewId="0">
      <selection activeCell="I174" sqref="I174"/>
    </sheetView>
  </sheetViews>
  <sheetFormatPr defaultRowHeight="14.5" x14ac:dyDescent="0.35"/>
  <cols>
    <col min="2" max="2" width="10.6328125" style="6" bestFit="1" customWidth="1"/>
    <col min="3" max="3" width="9.36328125" bestFit="1" customWidth="1"/>
    <col min="4" max="4" width="15.54296875" bestFit="1" customWidth="1"/>
    <col min="5" max="5" width="10.90625" customWidth="1"/>
    <col min="6" max="6" width="10.453125" bestFit="1" customWidth="1"/>
    <col min="8" max="8" width="13.36328125" customWidth="1"/>
    <col min="9" max="9" width="12" bestFit="1" customWidth="1"/>
    <col min="11" max="11" width="10.6328125" bestFit="1" customWidth="1"/>
    <col min="13" max="13" width="10.6328125" bestFit="1" customWidth="1"/>
    <col min="14" max="14" width="10.36328125" bestFit="1" customWidth="1"/>
    <col min="19" max="19" width="9" bestFit="1" customWidth="1"/>
  </cols>
  <sheetData>
    <row r="1" spans="2:27" ht="18.649999999999999" thickBot="1" x14ac:dyDescent="0.4">
      <c r="B1" s="511" t="s">
        <v>59</v>
      </c>
      <c r="C1" s="512"/>
      <c r="D1" s="512"/>
      <c r="E1" s="512"/>
      <c r="F1" s="512"/>
      <c r="G1" s="512"/>
      <c r="H1" s="512"/>
      <c r="I1" s="513"/>
    </row>
    <row r="2" spans="2:27" s="43" customFormat="1" ht="29.4" x14ac:dyDescent="0.35">
      <c r="B2" s="81" t="s">
        <v>1</v>
      </c>
      <c r="C2" s="41" t="s">
        <v>7</v>
      </c>
      <c r="D2" s="41" t="s">
        <v>2</v>
      </c>
      <c r="E2" s="41" t="s">
        <v>3</v>
      </c>
      <c r="F2" s="41" t="s">
        <v>4</v>
      </c>
      <c r="G2" s="41" t="s">
        <v>24</v>
      </c>
      <c r="H2" s="41" t="s">
        <v>6</v>
      </c>
      <c r="I2" s="82" t="s">
        <v>25</v>
      </c>
      <c r="L2" s="511" t="s">
        <v>59</v>
      </c>
      <c r="M2" s="512"/>
      <c r="N2" s="512"/>
      <c r="O2" s="512"/>
      <c r="P2" s="512"/>
      <c r="Q2" s="512"/>
      <c r="R2" s="512"/>
      <c r="S2" s="513"/>
    </row>
    <row r="3" spans="2:27" ht="28.75" x14ac:dyDescent="0.3">
      <c r="B3" s="83"/>
      <c r="C3" s="12" t="s">
        <v>8</v>
      </c>
      <c r="D3" s="1"/>
      <c r="E3" s="1"/>
      <c r="F3" s="1"/>
      <c r="G3" s="1"/>
      <c r="H3" s="1"/>
      <c r="I3" s="84"/>
      <c r="L3" s="81" t="s">
        <v>1</v>
      </c>
      <c r="M3" s="41" t="s">
        <v>7</v>
      </c>
      <c r="N3" s="41" t="s">
        <v>2</v>
      </c>
      <c r="O3" s="41" t="s">
        <v>3</v>
      </c>
      <c r="P3" s="41" t="s">
        <v>4</v>
      </c>
      <c r="Q3" s="41" t="s">
        <v>24</v>
      </c>
      <c r="R3" s="41" t="s">
        <v>6</v>
      </c>
      <c r="S3" s="82" t="s">
        <v>25</v>
      </c>
      <c r="U3" s="566" t="s">
        <v>61</v>
      </c>
      <c r="V3" s="566"/>
      <c r="W3" s="566"/>
      <c r="X3" s="566"/>
      <c r="Y3" s="566"/>
      <c r="Z3" s="55">
        <v>15015</v>
      </c>
      <c r="AA3" s="1"/>
    </row>
    <row r="4" spans="2:27" ht="14.4" x14ac:dyDescent="0.3">
      <c r="B4" s="85">
        <v>42767</v>
      </c>
      <c r="C4" s="1">
        <v>500000</v>
      </c>
      <c r="D4" s="2">
        <v>42767</v>
      </c>
      <c r="E4" s="2">
        <v>43132</v>
      </c>
      <c r="F4" s="59">
        <f>+E4-D4</f>
        <v>365</v>
      </c>
      <c r="G4" s="4">
        <v>0.18</v>
      </c>
      <c r="H4" s="5">
        <f>C4*F4*G4/365</f>
        <v>90000</v>
      </c>
      <c r="I4" s="86">
        <f>+C4+H4</f>
        <v>590000</v>
      </c>
      <c r="L4" s="83"/>
      <c r="M4" s="12" t="s">
        <v>8</v>
      </c>
      <c r="N4" s="1"/>
      <c r="O4" s="1"/>
      <c r="P4" s="1"/>
      <c r="Q4" s="1"/>
      <c r="R4" s="1"/>
      <c r="S4" s="84"/>
      <c r="U4" s="566" t="s">
        <v>62</v>
      </c>
      <c r="V4" s="566"/>
      <c r="W4" s="566"/>
      <c r="X4" s="566"/>
      <c r="Y4" s="566"/>
      <c r="Z4" s="55">
        <v>15015</v>
      </c>
      <c r="AA4" s="1"/>
    </row>
    <row r="5" spans="2:27" ht="14.4" x14ac:dyDescent="0.3">
      <c r="B5" s="87"/>
      <c r="C5" s="5">
        <f>+I4</f>
        <v>590000</v>
      </c>
      <c r="D5" s="2">
        <f>+E4</f>
        <v>43132</v>
      </c>
      <c r="E5" s="2">
        <v>43497</v>
      </c>
      <c r="F5" s="58">
        <f>+E5-D5</f>
        <v>365</v>
      </c>
      <c r="G5" s="4">
        <v>0.18</v>
      </c>
      <c r="H5" s="5">
        <f>I4*F5*G5/365</f>
        <v>106200</v>
      </c>
      <c r="I5" s="86">
        <f>+I4+H5</f>
        <v>696200</v>
      </c>
      <c r="L5" s="85">
        <v>42767</v>
      </c>
      <c r="M5" s="1">
        <v>500000</v>
      </c>
      <c r="N5" s="2">
        <v>42767</v>
      </c>
      <c r="O5" s="2">
        <v>43132</v>
      </c>
      <c r="P5" s="59">
        <f>+O5-N5</f>
        <v>365</v>
      </c>
      <c r="Q5" s="4">
        <v>0.18</v>
      </c>
      <c r="R5" s="5">
        <f>M5*P5*Q5/365</f>
        <v>90000</v>
      </c>
      <c r="S5" s="86">
        <f>+M5+R5</f>
        <v>590000</v>
      </c>
      <c r="U5" s="566" t="s">
        <v>63</v>
      </c>
      <c r="V5" s="566"/>
      <c r="W5" s="566"/>
      <c r="X5" s="566"/>
      <c r="Y5" s="566"/>
      <c r="Z5" s="1">
        <v>15015</v>
      </c>
      <c r="AA5" s="1" t="s">
        <v>13</v>
      </c>
    </row>
    <row r="6" spans="2:27" ht="14.4" x14ac:dyDescent="0.3">
      <c r="B6" s="87"/>
      <c r="C6" s="5">
        <f>+I5</f>
        <v>696200</v>
      </c>
      <c r="D6" s="2">
        <f>+E5</f>
        <v>43497</v>
      </c>
      <c r="E6" s="2">
        <v>43862</v>
      </c>
      <c r="F6" s="58">
        <f>+E6-D6</f>
        <v>365</v>
      </c>
      <c r="G6" s="4">
        <v>0.18</v>
      </c>
      <c r="H6" s="5">
        <f>I5*F6*G6/365</f>
        <v>125316</v>
      </c>
      <c r="I6" s="86">
        <f>+I5+H6</f>
        <v>821516</v>
      </c>
      <c r="L6" s="87"/>
      <c r="M6" s="5">
        <f>+S5</f>
        <v>590000</v>
      </c>
      <c r="N6" s="2">
        <f>+O5</f>
        <v>43132</v>
      </c>
      <c r="O6" s="2">
        <v>43497</v>
      </c>
      <c r="P6" s="58">
        <f>+O6-N6</f>
        <v>365</v>
      </c>
      <c r="Q6" s="4">
        <v>0.18</v>
      </c>
      <c r="R6" s="5">
        <f>S5*P6*Q6/365</f>
        <v>106200</v>
      </c>
      <c r="S6" s="86">
        <f>+S5+R6</f>
        <v>696200</v>
      </c>
      <c r="U6" s="566" t="s">
        <v>64</v>
      </c>
      <c r="V6" s="566"/>
      <c r="W6" s="566"/>
      <c r="X6" s="566"/>
      <c r="Y6" s="566"/>
      <c r="Z6" s="1">
        <v>100100</v>
      </c>
      <c r="AA6" s="1" t="s">
        <v>13</v>
      </c>
    </row>
    <row r="7" spans="2:27" ht="14.4" x14ac:dyDescent="0.3">
      <c r="B7" s="87"/>
      <c r="C7" s="5">
        <f>+I6</f>
        <v>821516</v>
      </c>
      <c r="D7" s="2">
        <f>+E6</f>
        <v>43862</v>
      </c>
      <c r="E7" s="2">
        <v>44228</v>
      </c>
      <c r="F7" s="58">
        <v>365</v>
      </c>
      <c r="G7" s="4">
        <v>0.18</v>
      </c>
      <c r="H7" s="5">
        <f>I6*F7*G7/365</f>
        <v>147872.87999999998</v>
      </c>
      <c r="I7" s="86">
        <f>+I6+H7</f>
        <v>969388.88</v>
      </c>
      <c r="L7" s="87"/>
      <c r="M7" s="5">
        <f>+S6</f>
        <v>696200</v>
      </c>
      <c r="N7" s="2">
        <f>+O6</f>
        <v>43497</v>
      </c>
      <c r="O7" s="2">
        <v>43862</v>
      </c>
      <c r="P7" s="58">
        <f>+O7-N7</f>
        <v>365</v>
      </c>
      <c r="Q7" s="4">
        <v>0.18</v>
      </c>
      <c r="R7" s="5">
        <f>S6*P7*Q7/365</f>
        <v>125316</v>
      </c>
      <c r="S7" s="86">
        <f>+S6+R7</f>
        <v>821516</v>
      </c>
    </row>
    <row r="8" spans="2:27" ht="14.4" x14ac:dyDescent="0.3">
      <c r="B8" s="87"/>
      <c r="C8" s="5">
        <f>+I7</f>
        <v>969388.88</v>
      </c>
      <c r="D8" s="2">
        <f>+E7</f>
        <v>44228</v>
      </c>
      <c r="E8" s="2">
        <v>44296</v>
      </c>
      <c r="F8" s="58">
        <f>+E8-D8</f>
        <v>68</v>
      </c>
      <c r="G8" s="4">
        <v>0.18</v>
      </c>
      <c r="H8" s="5">
        <f>I7*F8*G8/365</f>
        <v>32507.725729315069</v>
      </c>
      <c r="I8" s="86">
        <f>+I7+H8</f>
        <v>1001896.6057293151</v>
      </c>
      <c r="L8" s="87"/>
      <c r="M8" s="5">
        <f>+S7</f>
        <v>821516</v>
      </c>
      <c r="N8" s="2">
        <f>+O7</f>
        <v>43862</v>
      </c>
      <c r="O8" s="2">
        <v>44228</v>
      </c>
      <c r="P8" s="58">
        <v>365</v>
      </c>
      <c r="Q8" s="4">
        <v>0.18</v>
      </c>
      <c r="R8" s="5">
        <f>S7*P8*Q8/365</f>
        <v>147872.87999999998</v>
      </c>
      <c r="S8" s="86">
        <f>+S7+R8</f>
        <v>969388.88</v>
      </c>
    </row>
    <row r="9" spans="2:27" ht="14.4" x14ac:dyDescent="0.3">
      <c r="B9" s="87"/>
      <c r="C9" s="5"/>
      <c r="D9" s="2"/>
      <c r="E9" s="2"/>
      <c r="F9" s="56"/>
      <c r="G9" s="4"/>
      <c r="H9" s="8">
        <f>SUM(H4:H8)</f>
        <v>501896.60572931508</v>
      </c>
      <c r="I9" s="88"/>
      <c r="L9" s="87"/>
      <c r="M9" s="5">
        <f>+S8</f>
        <v>969388.88</v>
      </c>
      <c r="N9" s="2">
        <f>+O8</f>
        <v>44228</v>
      </c>
      <c r="O9" s="2">
        <v>44297</v>
      </c>
      <c r="P9" s="58">
        <f>+O9-N9</f>
        <v>69</v>
      </c>
      <c r="Q9" s="4">
        <v>0.18</v>
      </c>
      <c r="R9" s="5">
        <f>S8*P9*Q9/365</f>
        <v>32985.780519452055</v>
      </c>
      <c r="S9" s="86">
        <f>+S8+R9</f>
        <v>1002374.6605194521</v>
      </c>
    </row>
    <row r="10" spans="2:27" ht="14.4" x14ac:dyDescent="0.3">
      <c r="B10" s="87"/>
      <c r="C10" s="5"/>
      <c r="D10" s="2"/>
      <c r="E10" s="2"/>
      <c r="F10" s="3"/>
      <c r="G10" s="4"/>
      <c r="H10" s="8"/>
      <c r="I10" s="86"/>
      <c r="L10" s="87"/>
      <c r="M10" s="5"/>
      <c r="N10" s="2"/>
      <c r="O10" s="2"/>
      <c r="P10" s="58"/>
      <c r="Q10" s="4"/>
      <c r="R10" s="5"/>
      <c r="S10" s="86"/>
    </row>
    <row r="11" spans="2:27" ht="14.4" x14ac:dyDescent="0.3">
      <c r="B11" s="85"/>
      <c r="C11" s="514" t="s">
        <v>42</v>
      </c>
      <c r="D11" s="515"/>
      <c r="E11" s="515"/>
      <c r="F11" s="515"/>
      <c r="G11" s="516"/>
      <c r="H11" s="8">
        <f>+H9</f>
        <v>501896.60572931508</v>
      </c>
      <c r="I11" s="86"/>
      <c r="L11" s="87"/>
      <c r="M11" s="5"/>
      <c r="N11" s="2"/>
      <c r="O11" s="2"/>
      <c r="P11" s="58"/>
      <c r="Q11" s="4"/>
      <c r="R11" s="5"/>
      <c r="S11" s="86"/>
    </row>
    <row r="12" spans="2:27" ht="14.4" x14ac:dyDescent="0.3">
      <c r="B12" s="85"/>
      <c r="C12" s="514" t="s">
        <v>43</v>
      </c>
      <c r="D12" s="515"/>
      <c r="E12" s="515"/>
      <c r="F12" s="515"/>
      <c r="G12" s="516"/>
      <c r="H12" s="8">
        <f>+C4</f>
        <v>500000</v>
      </c>
      <c r="I12" s="86"/>
      <c r="L12" s="87"/>
      <c r="M12" s="5"/>
      <c r="N12" s="2"/>
      <c r="O12" s="2"/>
      <c r="P12" s="56"/>
      <c r="Q12" s="4"/>
      <c r="R12" s="8">
        <f>SUM(R5:R9)</f>
        <v>502374.66051945207</v>
      </c>
      <c r="S12" s="88"/>
    </row>
    <row r="13" spans="2:27" ht="14.4" x14ac:dyDescent="0.3">
      <c r="B13" s="83"/>
      <c r="C13" s="539" t="s">
        <v>57</v>
      </c>
      <c r="D13" s="541"/>
      <c r="E13" s="541"/>
      <c r="F13" s="541"/>
      <c r="G13" s="540"/>
      <c r="H13" s="55">
        <f>SUM(H11:H12)</f>
        <v>1001896.6057293151</v>
      </c>
      <c r="I13" s="84"/>
      <c r="L13" s="87"/>
      <c r="M13" s="5"/>
      <c r="N13" s="2"/>
      <c r="O13" s="2"/>
      <c r="P13" s="3"/>
      <c r="Q13" s="4"/>
      <c r="R13" s="8"/>
      <c r="S13" s="86"/>
    </row>
    <row r="14" spans="2:27" ht="14.4" x14ac:dyDescent="0.3">
      <c r="B14" s="83"/>
      <c r="C14" s="514" t="s">
        <v>60</v>
      </c>
      <c r="D14" s="515"/>
      <c r="E14" s="515"/>
      <c r="F14" s="515"/>
      <c r="G14" s="516"/>
      <c r="H14" s="55">
        <v>15015</v>
      </c>
      <c r="I14" s="84"/>
      <c r="L14" s="85"/>
      <c r="M14" s="514" t="s">
        <v>126</v>
      </c>
      <c r="N14" s="515"/>
      <c r="O14" s="515"/>
      <c r="P14" s="515"/>
      <c r="Q14" s="516"/>
      <c r="R14" s="8">
        <f>+R12</f>
        <v>502374.66051945207</v>
      </c>
      <c r="S14" s="86"/>
    </row>
    <row r="15" spans="2:27" s="9" customFormat="1" ht="15" thickBot="1" x14ac:dyDescent="0.35">
      <c r="B15" s="89"/>
      <c r="C15" s="622" t="s">
        <v>58</v>
      </c>
      <c r="D15" s="623"/>
      <c r="E15" s="623"/>
      <c r="F15" s="623"/>
      <c r="G15" s="624"/>
      <c r="H15" s="90">
        <f>SUM(H13:H14)</f>
        <v>1016911.6057293151</v>
      </c>
      <c r="I15" s="91"/>
      <c r="L15" s="85"/>
      <c r="M15" s="514" t="s">
        <v>43</v>
      </c>
      <c r="N15" s="515"/>
      <c r="O15" s="515"/>
      <c r="P15" s="515"/>
      <c r="Q15" s="516"/>
      <c r="R15" s="8">
        <f>+M5</f>
        <v>500000</v>
      </c>
      <c r="S15" s="86"/>
      <c r="T15"/>
    </row>
    <row r="16" spans="2:27" ht="15" thickBot="1" x14ac:dyDescent="0.35">
      <c r="L16" s="108"/>
      <c r="M16" s="622" t="s">
        <v>58</v>
      </c>
      <c r="N16" s="623"/>
      <c r="O16" s="623"/>
      <c r="P16" s="623"/>
      <c r="Q16" s="624"/>
      <c r="R16" s="90">
        <f>SUM(R14:R15)</f>
        <v>1002374.6605194521</v>
      </c>
      <c r="S16" s="109"/>
    </row>
    <row r="18" spans="2:18" ht="14.4" x14ac:dyDescent="0.3">
      <c r="B18" s="15"/>
      <c r="C18" s="566" t="s">
        <v>61</v>
      </c>
      <c r="D18" s="566"/>
      <c r="E18" s="566"/>
      <c r="F18" s="566"/>
      <c r="G18" s="566"/>
      <c r="H18" s="55">
        <v>15015</v>
      </c>
      <c r="I18" s="1"/>
    </row>
    <row r="19" spans="2:18" ht="14.4" x14ac:dyDescent="0.3">
      <c r="B19" s="15"/>
      <c r="C19" s="566" t="s">
        <v>62</v>
      </c>
      <c r="D19" s="566"/>
      <c r="E19" s="566"/>
      <c r="F19" s="566"/>
      <c r="G19" s="566"/>
      <c r="H19" s="55">
        <v>15015</v>
      </c>
      <c r="I19" s="1"/>
    </row>
    <row r="20" spans="2:18" ht="14.4" x14ac:dyDescent="0.3">
      <c r="B20" s="15"/>
      <c r="C20" s="566" t="s">
        <v>63</v>
      </c>
      <c r="D20" s="566"/>
      <c r="E20" s="566"/>
      <c r="F20" s="566"/>
      <c r="G20" s="566"/>
      <c r="H20" s="1">
        <v>15015</v>
      </c>
      <c r="I20" s="1" t="s">
        <v>13</v>
      </c>
    </row>
    <row r="21" spans="2:18" ht="14.4" x14ac:dyDescent="0.3">
      <c r="B21" s="15"/>
      <c r="C21" s="566" t="s">
        <v>64</v>
      </c>
      <c r="D21" s="566"/>
      <c r="E21" s="566"/>
      <c r="F21" s="566"/>
      <c r="G21" s="566"/>
      <c r="H21" s="1">
        <v>100100</v>
      </c>
      <c r="I21" s="1" t="s">
        <v>13</v>
      </c>
    </row>
    <row r="22" spans="2:18" ht="15" thickBot="1" x14ac:dyDescent="0.35"/>
    <row r="23" spans="2:18" ht="18" x14ac:dyDescent="0.35">
      <c r="B23" s="511" t="s">
        <v>59</v>
      </c>
      <c r="C23" s="512"/>
      <c r="D23" s="512"/>
      <c r="E23" s="512"/>
      <c r="F23" s="512"/>
      <c r="G23" s="512"/>
      <c r="H23" s="512"/>
      <c r="I23" s="513"/>
      <c r="K23" s="511" t="s">
        <v>59</v>
      </c>
      <c r="L23" s="512"/>
      <c r="M23" s="512"/>
      <c r="N23" s="512"/>
      <c r="O23" s="512"/>
      <c r="P23" s="512"/>
      <c r="Q23" s="512"/>
      <c r="R23" s="513"/>
    </row>
    <row r="24" spans="2:18" ht="28.75" x14ac:dyDescent="0.3">
      <c r="B24" s="81" t="s">
        <v>1</v>
      </c>
      <c r="C24" s="41" t="s">
        <v>7</v>
      </c>
      <c r="D24" s="41" t="s">
        <v>2</v>
      </c>
      <c r="E24" s="41" t="s">
        <v>3</v>
      </c>
      <c r="F24" s="41" t="s">
        <v>4</v>
      </c>
      <c r="G24" s="41" t="s">
        <v>24</v>
      </c>
      <c r="H24" s="41" t="s">
        <v>6</v>
      </c>
      <c r="I24" s="82" t="s">
        <v>25</v>
      </c>
      <c r="K24" s="81" t="s">
        <v>1</v>
      </c>
      <c r="L24" s="41" t="s">
        <v>7</v>
      </c>
      <c r="M24" s="41" t="s">
        <v>2</v>
      </c>
      <c r="N24" s="41" t="s">
        <v>3</v>
      </c>
      <c r="O24" s="41" t="s">
        <v>4</v>
      </c>
      <c r="P24" s="41" t="s">
        <v>24</v>
      </c>
      <c r="Q24" s="41" t="s">
        <v>6</v>
      </c>
      <c r="R24" s="82" t="s">
        <v>25</v>
      </c>
    </row>
    <row r="25" spans="2:18" ht="14.4" x14ac:dyDescent="0.3">
      <c r="B25" s="83"/>
      <c r="C25" s="12" t="s">
        <v>8</v>
      </c>
      <c r="D25" s="1"/>
      <c r="E25" s="1"/>
      <c r="F25" s="1"/>
      <c r="G25" s="1"/>
      <c r="H25" s="1"/>
      <c r="I25" s="84"/>
      <c r="K25" s="83"/>
      <c r="L25" s="12" t="s">
        <v>8</v>
      </c>
      <c r="M25" s="1"/>
      <c r="N25" s="1"/>
      <c r="O25" s="1"/>
      <c r="P25" s="1"/>
      <c r="Q25" s="1"/>
      <c r="R25" s="84"/>
    </row>
    <row r="26" spans="2:18" ht="14.4" x14ac:dyDescent="0.3">
      <c r="B26" s="85">
        <v>44315</v>
      </c>
      <c r="C26" s="1">
        <v>800000</v>
      </c>
      <c r="D26" s="2">
        <v>44315</v>
      </c>
      <c r="E26" s="2">
        <v>44446</v>
      </c>
      <c r="F26" s="59">
        <f>+E26-D26</f>
        <v>131</v>
      </c>
      <c r="G26" s="4">
        <v>0.18</v>
      </c>
      <c r="H26" s="5">
        <f>C26*F26*G26/365</f>
        <v>51682.191780821915</v>
      </c>
      <c r="I26" s="86">
        <f>+C26+H26</f>
        <v>851682.19178082189</v>
      </c>
      <c r="K26" s="85">
        <v>44315</v>
      </c>
      <c r="L26" s="1">
        <v>500000</v>
      </c>
      <c r="M26" s="2">
        <v>44315</v>
      </c>
      <c r="N26" s="2">
        <v>44446</v>
      </c>
      <c r="O26" s="59">
        <f>+N26-M26</f>
        <v>131</v>
      </c>
      <c r="P26" s="4">
        <v>0.18</v>
      </c>
      <c r="Q26" s="5">
        <f>L26*O26*P26/365</f>
        <v>32301.369863013697</v>
      </c>
      <c r="R26" s="86">
        <f>+L26+Q26</f>
        <v>532301.36986301374</v>
      </c>
    </row>
    <row r="27" spans="2:18" ht="14.4" x14ac:dyDescent="0.3">
      <c r="B27" s="87"/>
      <c r="C27" s="5"/>
      <c r="D27" s="2"/>
      <c r="E27" s="2"/>
      <c r="F27" s="58"/>
      <c r="G27" s="4"/>
      <c r="H27" s="5"/>
      <c r="I27" s="86"/>
      <c r="K27" s="87"/>
      <c r="L27" s="5"/>
      <c r="M27" s="2"/>
      <c r="N27" s="2"/>
      <c r="O27" s="58"/>
      <c r="P27" s="4"/>
      <c r="Q27" s="5"/>
      <c r="R27" s="86"/>
    </row>
    <row r="28" spans="2:18" ht="14.4" x14ac:dyDescent="0.3">
      <c r="B28" s="87"/>
      <c r="C28" s="5"/>
      <c r="D28" s="2"/>
      <c r="E28" s="2"/>
      <c r="F28" s="56"/>
      <c r="G28" s="4"/>
      <c r="H28" s="8">
        <f>SUM(H26:H26)</f>
        <v>51682.191780821915</v>
      </c>
      <c r="I28" s="88"/>
      <c r="K28" s="87"/>
      <c r="L28" s="5"/>
      <c r="M28" s="2"/>
      <c r="N28" s="2"/>
      <c r="O28" s="56"/>
      <c r="P28" s="4"/>
      <c r="Q28" s="8">
        <f>SUM(Q26:Q26)</f>
        <v>32301.369863013697</v>
      </c>
      <c r="R28" s="88"/>
    </row>
    <row r="29" spans="2:18" ht="14.4" x14ac:dyDescent="0.3">
      <c r="B29" s="87"/>
      <c r="C29" s="5"/>
      <c r="D29" s="2"/>
      <c r="E29" s="2"/>
      <c r="F29" s="3"/>
      <c r="G29" s="4"/>
      <c r="H29" s="8"/>
      <c r="I29" s="86"/>
      <c r="K29" s="87"/>
      <c r="L29" s="5"/>
      <c r="M29" s="2"/>
      <c r="N29" s="2"/>
      <c r="O29" s="3"/>
      <c r="P29" s="4"/>
      <c r="Q29" s="8"/>
      <c r="R29" s="86"/>
    </row>
    <row r="30" spans="2:18" ht="14.4" x14ac:dyDescent="0.3">
      <c r="B30" s="85"/>
      <c r="C30" s="514" t="s">
        <v>126</v>
      </c>
      <c r="D30" s="515"/>
      <c r="E30" s="515"/>
      <c r="F30" s="515"/>
      <c r="G30" s="516"/>
      <c r="H30" s="8">
        <f>+H28</f>
        <v>51682.191780821915</v>
      </c>
      <c r="I30" s="86"/>
      <c r="K30" s="85"/>
      <c r="L30" s="514" t="s">
        <v>126</v>
      </c>
      <c r="M30" s="515"/>
      <c r="N30" s="515"/>
      <c r="O30" s="515"/>
      <c r="P30" s="516"/>
      <c r="Q30" s="8">
        <f>+Q28</f>
        <v>32301.369863013697</v>
      </c>
      <c r="R30" s="86"/>
    </row>
    <row r="31" spans="2:18" ht="14.4" x14ac:dyDescent="0.3">
      <c r="B31" s="85"/>
      <c r="C31" s="514" t="s">
        <v>43</v>
      </c>
      <c r="D31" s="515"/>
      <c r="E31" s="515"/>
      <c r="F31" s="515"/>
      <c r="G31" s="516"/>
      <c r="H31" s="8">
        <f>+C26</f>
        <v>800000</v>
      </c>
      <c r="I31" s="86"/>
      <c r="K31" s="85"/>
      <c r="L31" s="514" t="s">
        <v>43</v>
      </c>
      <c r="M31" s="515"/>
      <c r="N31" s="515"/>
      <c r="O31" s="515"/>
      <c r="P31" s="516"/>
      <c r="Q31" s="8">
        <f>+L26</f>
        <v>500000</v>
      </c>
      <c r="R31" s="86"/>
    </row>
    <row r="32" spans="2:18" ht="15" thickBot="1" x14ac:dyDescent="0.35">
      <c r="B32" s="108"/>
      <c r="C32" s="622" t="s">
        <v>58</v>
      </c>
      <c r="D32" s="623"/>
      <c r="E32" s="623"/>
      <c r="F32" s="623"/>
      <c r="G32" s="624"/>
      <c r="H32" s="90">
        <f>SUM(H30:H31)</f>
        <v>851682.19178082189</v>
      </c>
      <c r="I32" s="109"/>
      <c r="K32" s="108"/>
      <c r="L32" s="622" t="s">
        <v>58</v>
      </c>
      <c r="M32" s="623"/>
      <c r="N32" s="623"/>
      <c r="O32" s="623"/>
      <c r="P32" s="624"/>
      <c r="Q32" s="90">
        <f>SUM(Q30:Q31)</f>
        <v>532301.36986301374</v>
      </c>
      <c r="R32" s="109"/>
    </row>
    <row r="33" spans="2:9" ht="14.4" x14ac:dyDescent="0.3">
      <c r="B33"/>
    </row>
    <row r="34" spans="2:9" ht="14.4" x14ac:dyDescent="0.3">
      <c r="B34"/>
    </row>
    <row r="35" spans="2:9" ht="15" thickBot="1" x14ac:dyDescent="0.35">
      <c r="B35"/>
    </row>
    <row r="36" spans="2:9" ht="18" x14ac:dyDescent="0.35">
      <c r="B36" s="619" t="s">
        <v>115</v>
      </c>
      <c r="C36" s="620"/>
      <c r="D36" s="620"/>
      <c r="E36" s="620"/>
      <c r="F36" s="620"/>
      <c r="G36" s="620"/>
      <c r="H36" s="620"/>
      <c r="I36" s="621"/>
    </row>
    <row r="37" spans="2:9" ht="28.75" x14ac:dyDescent="0.3">
      <c r="B37" s="81" t="s">
        <v>1</v>
      </c>
      <c r="C37" s="41" t="s">
        <v>7</v>
      </c>
      <c r="D37" s="41" t="s">
        <v>2</v>
      </c>
      <c r="E37" s="41" t="s">
        <v>3</v>
      </c>
      <c r="F37" s="41" t="s">
        <v>4</v>
      </c>
      <c r="G37" s="41" t="s">
        <v>24</v>
      </c>
      <c r="H37" s="41" t="s">
        <v>6</v>
      </c>
      <c r="I37" s="82" t="s">
        <v>25</v>
      </c>
    </row>
    <row r="38" spans="2:9" ht="14.4" x14ac:dyDescent="0.3">
      <c r="B38" s="83"/>
      <c r="C38" s="12" t="s">
        <v>8</v>
      </c>
      <c r="D38" s="1"/>
      <c r="E38" s="1"/>
      <c r="F38" s="1"/>
      <c r="G38" s="1"/>
      <c r="H38" s="1"/>
      <c r="I38" s="84"/>
    </row>
    <row r="39" spans="2:9" ht="14.4" x14ac:dyDescent="0.3">
      <c r="B39" s="85">
        <v>43867</v>
      </c>
      <c r="C39" s="1">
        <v>500000</v>
      </c>
      <c r="D39" s="2">
        <v>43867</v>
      </c>
      <c r="E39" s="2">
        <v>44233</v>
      </c>
      <c r="F39" s="59">
        <v>365</v>
      </c>
      <c r="G39" s="4">
        <v>0.18</v>
      </c>
      <c r="H39" s="5">
        <f>C39*F39*G39/365</f>
        <v>90000</v>
      </c>
      <c r="I39" s="86">
        <f>+C39+H39</f>
        <v>590000</v>
      </c>
    </row>
    <row r="40" spans="2:9" ht="14.4" x14ac:dyDescent="0.3">
      <c r="B40" s="87"/>
      <c r="C40" s="5">
        <f>+I39</f>
        <v>590000</v>
      </c>
      <c r="D40" s="2">
        <f>+E39</f>
        <v>44233</v>
      </c>
      <c r="E40" s="2">
        <v>44446</v>
      </c>
      <c r="F40" s="59">
        <f>+E40-D40</f>
        <v>213</v>
      </c>
      <c r="G40" s="4">
        <v>0.18</v>
      </c>
      <c r="H40" s="5">
        <f>C40*F40*G40/365</f>
        <v>61974.246575342462</v>
      </c>
      <c r="I40" s="86">
        <f>+I39+H40</f>
        <v>651974.24657534249</v>
      </c>
    </row>
    <row r="41" spans="2:9" ht="14.4" x14ac:dyDescent="0.3">
      <c r="B41" s="87"/>
      <c r="C41" s="1"/>
      <c r="D41" s="2"/>
      <c r="E41" s="2"/>
      <c r="F41" s="59"/>
      <c r="G41" s="4"/>
      <c r="H41" s="5"/>
      <c r="I41" s="86"/>
    </row>
    <row r="42" spans="2:9" ht="14.4" x14ac:dyDescent="0.3">
      <c r="B42" s="85"/>
      <c r="C42" s="5"/>
      <c r="D42" s="2"/>
      <c r="E42" s="2"/>
      <c r="F42" s="56"/>
      <c r="G42" s="4"/>
      <c r="H42" s="8">
        <f>SUM(H39:H41)</f>
        <v>151974.24657534246</v>
      </c>
      <c r="I42" s="88"/>
    </row>
    <row r="43" spans="2:9" ht="14.4" x14ac:dyDescent="0.3">
      <c r="B43" s="85"/>
      <c r="C43" s="5"/>
      <c r="D43" s="2"/>
      <c r="E43" s="2"/>
      <c r="F43" s="3"/>
      <c r="G43" s="4"/>
      <c r="H43" s="8"/>
      <c r="I43" s="86"/>
    </row>
    <row r="44" spans="2:9" ht="14.4" x14ac:dyDescent="0.3">
      <c r="B44" s="83"/>
      <c r="C44" s="566" t="s">
        <v>42</v>
      </c>
      <c r="D44" s="566"/>
      <c r="E44" s="566"/>
      <c r="F44" s="566"/>
      <c r="G44" s="566"/>
      <c r="H44" s="8">
        <f>+H42</f>
        <v>151974.24657534246</v>
      </c>
      <c r="I44" s="86"/>
    </row>
    <row r="45" spans="2:9" ht="14.4" x14ac:dyDescent="0.3">
      <c r="B45" s="83"/>
      <c r="C45" s="566" t="s">
        <v>43</v>
      </c>
      <c r="D45" s="566"/>
      <c r="E45" s="566"/>
      <c r="F45" s="566"/>
      <c r="G45" s="566"/>
      <c r="H45" s="8">
        <f>+C39</f>
        <v>500000</v>
      </c>
      <c r="I45" s="86"/>
    </row>
    <row r="46" spans="2:9" ht="14.4" x14ac:dyDescent="0.3">
      <c r="B46" s="205"/>
      <c r="C46" s="543" t="s">
        <v>57</v>
      </c>
      <c r="D46" s="543"/>
      <c r="E46" s="543"/>
      <c r="F46" s="543"/>
      <c r="G46" s="543"/>
      <c r="H46" s="55">
        <f>SUM(H44:H45)</f>
        <v>651974.24657534249</v>
      </c>
      <c r="I46" s="84"/>
    </row>
    <row r="47" spans="2:9" ht="14.4" x14ac:dyDescent="0.3">
      <c r="B47" s="171"/>
      <c r="C47" s="566"/>
      <c r="D47" s="566"/>
      <c r="E47" s="566"/>
      <c r="F47" s="566"/>
      <c r="G47" s="566"/>
      <c r="H47" s="8"/>
      <c r="I47" s="84"/>
    </row>
    <row r="48" spans="2:9" ht="15" thickBot="1" x14ac:dyDescent="0.35">
      <c r="B48" s="172"/>
      <c r="C48" s="555" t="s">
        <v>58</v>
      </c>
      <c r="D48" s="555"/>
      <c r="E48" s="555"/>
      <c r="F48" s="555"/>
      <c r="G48" s="555"/>
      <c r="H48" s="90">
        <f>SUM(H46:H47)</f>
        <v>651974.24657534249</v>
      </c>
      <c r="I48" s="91"/>
    </row>
    <row r="49" spans="2:9" ht="15" thickBot="1" x14ac:dyDescent="0.35"/>
    <row r="50" spans="2:9" ht="18" x14ac:dyDescent="0.35">
      <c r="B50" s="619" t="s">
        <v>115</v>
      </c>
      <c r="C50" s="620"/>
      <c r="D50" s="620"/>
      <c r="E50" s="620"/>
      <c r="F50" s="620"/>
      <c r="G50" s="620"/>
      <c r="H50" s="620"/>
      <c r="I50" s="621"/>
    </row>
    <row r="51" spans="2:9" ht="28.75" x14ac:dyDescent="0.3">
      <c r="B51" s="81" t="s">
        <v>1</v>
      </c>
      <c r="C51" s="41" t="s">
        <v>7</v>
      </c>
      <c r="D51" s="41" t="s">
        <v>2</v>
      </c>
      <c r="E51" s="41" t="s">
        <v>3</v>
      </c>
      <c r="F51" s="41" t="s">
        <v>4</v>
      </c>
      <c r="G51" s="41" t="s">
        <v>24</v>
      </c>
      <c r="H51" s="41" t="s">
        <v>6</v>
      </c>
      <c r="I51" s="82" t="s">
        <v>25</v>
      </c>
    </row>
    <row r="52" spans="2:9" ht="14.4" x14ac:dyDescent="0.3">
      <c r="B52" s="83"/>
      <c r="C52" s="12" t="s">
        <v>8</v>
      </c>
      <c r="D52" s="1"/>
      <c r="E52" s="1"/>
      <c r="F52" s="1"/>
      <c r="G52" s="1"/>
      <c r="H52" s="1"/>
      <c r="I52" s="84"/>
    </row>
    <row r="53" spans="2:9" ht="14.4" x14ac:dyDescent="0.3">
      <c r="B53" s="85">
        <v>43867</v>
      </c>
      <c r="C53" s="1">
        <v>500000</v>
      </c>
      <c r="D53" s="2">
        <v>43867</v>
      </c>
      <c r="E53" s="2">
        <v>44233</v>
      </c>
      <c r="F53" s="59">
        <v>365</v>
      </c>
      <c r="G53" s="4">
        <v>0.18</v>
      </c>
      <c r="H53" s="5">
        <f>C53*F53*G53/365</f>
        <v>90000</v>
      </c>
      <c r="I53" s="86">
        <f>+C53+H53</f>
        <v>590000</v>
      </c>
    </row>
    <row r="54" spans="2:9" ht="14.4" x14ac:dyDescent="0.3">
      <c r="B54" s="87"/>
      <c r="C54" s="5">
        <f>+I53</f>
        <v>590000</v>
      </c>
      <c r="D54" s="2">
        <f>+E53</f>
        <v>44233</v>
      </c>
      <c r="E54" s="2">
        <v>44598</v>
      </c>
      <c r="F54" s="59">
        <f>+E54-D54</f>
        <v>365</v>
      </c>
      <c r="G54" s="4">
        <v>0.18</v>
      </c>
      <c r="H54" s="5">
        <f>C54*F54*G54/365</f>
        <v>106200</v>
      </c>
      <c r="I54" s="86">
        <f>+I53+H54</f>
        <v>696200</v>
      </c>
    </row>
    <row r="55" spans="2:9" ht="14.4" x14ac:dyDescent="0.3">
      <c r="B55" s="87"/>
      <c r="C55" s="5">
        <f>+I54</f>
        <v>696200</v>
      </c>
      <c r="D55" s="2">
        <f>+E54</f>
        <v>44598</v>
      </c>
      <c r="E55" s="2">
        <v>44963</v>
      </c>
      <c r="F55" s="59">
        <f>+E55-D55</f>
        <v>365</v>
      </c>
      <c r="G55" s="4">
        <v>0.18</v>
      </c>
      <c r="H55" s="5">
        <f>C55*F55*G55/365</f>
        <v>125316</v>
      </c>
      <c r="I55" s="86">
        <f>+I54+H55</f>
        <v>821516</v>
      </c>
    </row>
    <row r="56" spans="2:9" ht="14.4" x14ac:dyDescent="0.3">
      <c r="B56" s="87"/>
      <c r="C56" s="5"/>
      <c r="D56" s="2"/>
      <c r="E56" s="2"/>
      <c r="F56" s="59"/>
      <c r="G56" s="4"/>
      <c r="H56" s="5"/>
      <c r="I56" s="86"/>
    </row>
    <row r="57" spans="2:9" ht="14.4" x14ac:dyDescent="0.3">
      <c r="B57" s="85"/>
      <c r="C57" s="5"/>
      <c r="D57" s="2"/>
      <c r="E57" s="2"/>
      <c r="F57" s="56"/>
      <c r="G57" s="4"/>
      <c r="H57" s="8">
        <f>SUM(H53:H55)</f>
        <v>321516</v>
      </c>
      <c r="I57" s="88"/>
    </row>
    <row r="58" spans="2:9" ht="14.4" x14ac:dyDescent="0.3">
      <c r="B58" s="85"/>
      <c r="C58" s="5"/>
      <c r="D58" s="2"/>
      <c r="E58" s="2"/>
      <c r="F58" s="3"/>
      <c r="G58" s="4"/>
      <c r="H58" s="8"/>
      <c r="I58" s="86"/>
    </row>
    <row r="59" spans="2:9" ht="14.4" x14ac:dyDescent="0.3">
      <c r="B59" s="83"/>
      <c r="C59" s="566" t="s">
        <v>42</v>
      </c>
      <c r="D59" s="566"/>
      <c r="E59" s="566"/>
      <c r="F59" s="566"/>
      <c r="G59" s="566"/>
      <c r="H59" s="8">
        <f>+H57</f>
        <v>321516</v>
      </c>
      <c r="I59" s="86"/>
    </row>
    <row r="60" spans="2:9" ht="14.4" x14ac:dyDescent="0.3">
      <c r="B60" s="83"/>
      <c r="C60" s="566" t="s">
        <v>43</v>
      </c>
      <c r="D60" s="566"/>
      <c r="E60" s="566"/>
      <c r="F60" s="566"/>
      <c r="G60" s="566"/>
      <c r="H60" s="8">
        <f>+C53</f>
        <v>500000</v>
      </c>
      <c r="I60" s="86"/>
    </row>
    <row r="61" spans="2:9" ht="14.4" x14ac:dyDescent="0.3">
      <c r="B61" s="205"/>
      <c r="C61" s="543" t="s">
        <v>57</v>
      </c>
      <c r="D61" s="543"/>
      <c r="E61" s="543"/>
      <c r="F61" s="543"/>
      <c r="G61" s="543"/>
      <c r="H61" s="55">
        <f>SUM(H59:H60)</f>
        <v>821516</v>
      </c>
      <c r="I61" s="84"/>
    </row>
    <row r="62" spans="2:9" ht="14.4" x14ac:dyDescent="0.3">
      <c r="B62" s="171"/>
      <c r="C62" s="566"/>
      <c r="D62" s="566"/>
      <c r="E62" s="566"/>
      <c r="F62" s="566"/>
      <c r="G62" s="566"/>
      <c r="H62" s="8"/>
      <c r="I62" s="84"/>
    </row>
    <row r="63" spans="2:9" ht="15" thickBot="1" x14ac:dyDescent="0.35">
      <c r="B63" s="172"/>
      <c r="C63" s="555" t="s">
        <v>58</v>
      </c>
      <c r="D63" s="555"/>
      <c r="E63" s="555"/>
      <c r="F63" s="555"/>
      <c r="G63" s="555"/>
      <c r="H63" s="90">
        <f>SUM(H61:H62)</f>
        <v>821516</v>
      </c>
      <c r="I63" s="91"/>
    </row>
    <row r="66" spans="2:9" ht="14.4" x14ac:dyDescent="0.3">
      <c r="B66" s="580" t="s">
        <v>240</v>
      </c>
      <c r="C66" s="580"/>
      <c r="D66" s="6" t="s">
        <v>241</v>
      </c>
    </row>
    <row r="67" spans="2:9" ht="14.4" x14ac:dyDescent="0.3">
      <c r="B67" s="580" t="s">
        <v>237</v>
      </c>
      <c r="C67" s="580"/>
      <c r="D67" s="6">
        <v>2343862</v>
      </c>
    </row>
    <row r="68" spans="2:9" ht="14.4" x14ac:dyDescent="0.3">
      <c r="B68" s="580" t="s">
        <v>238</v>
      </c>
      <c r="C68" s="580"/>
      <c r="D68" s="6">
        <v>4000</v>
      </c>
    </row>
    <row r="69" spans="2:9" ht="14.4" x14ac:dyDescent="0.3">
      <c r="B69" s="282"/>
      <c r="C69" s="282"/>
      <c r="D69" s="6"/>
    </row>
    <row r="70" spans="2:9" ht="14.4" x14ac:dyDescent="0.3">
      <c r="B70" s="618" t="s">
        <v>239</v>
      </c>
      <c r="C70" s="618"/>
      <c r="D70" s="10">
        <f>+D67+D68</f>
        <v>2347862</v>
      </c>
    </row>
    <row r="74" spans="2:9" ht="15" thickBot="1" x14ac:dyDescent="0.35"/>
    <row r="75" spans="2:9" ht="18" x14ac:dyDescent="0.35">
      <c r="B75" s="619" t="s">
        <v>233</v>
      </c>
      <c r="C75" s="620"/>
      <c r="D75" s="620"/>
      <c r="E75" s="620"/>
      <c r="F75" s="620"/>
      <c r="G75" s="620"/>
      <c r="H75" s="620"/>
      <c r="I75" s="621"/>
    </row>
    <row r="76" spans="2:9" ht="28.75" x14ac:dyDescent="0.3">
      <c r="B76" s="81" t="s">
        <v>1</v>
      </c>
      <c r="C76" s="41" t="s">
        <v>7</v>
      </c>
      <c r="D76" s="41" t="s">
        <v>2</v>
      </c>
      <c r="E76" s="41" t="s">
        <v>3</v>
      </c>
      <c r="F76" s="41" t="s">
        <v>4</v>
      </c>
      <c r="G76" s="41" t="s">
        <v>24</v>
      </c>
      <c r="H76" s="41" t="s">
        <v>6</v>
      </c>
      <c r="I76" s="82" t="s">
        <v>25</v>
      </c>
    </row>
    <row r="77" spans="2:9" ht="14.4" x14ac:dyDescent="0.3">
      <c r="B77" s="83"/>
      <c r="C77" s="12" t="s">
        <v>8</v>
      </c>
      <c r="D77" s="1"/>
      <c r="E77" s="1"/>
      <c r="F77" s="1"/>
      <c r="G77" s="1"/>
      <c r="H77" s="1"/>
      <c r="I77" s="84"/>
    </row>
    <row r="78" spans="2:9" ht="14.4" x14ac:dyDescent="0.3">
      <c r="B78" s="85" t="s">
        <v>229</v>
      </c>
      <c r="C78" s="1">
        <v>2500000</v>
      </c>
      <c r="D78" s="2">
        <v>44763</v>
      </c>
      <c r="E78" s="2">
        <v>44926</v>
      </c>
      <c r="F78" s="59">
        <f>+E78-D78</f>
        <v>163</v>
      </c>
      <c r="G78" s="4">
        <v>0.18</v>
      </c>
      <c r="H78" s="5">
        <f>C78*F78*G78/365</f>
        <v>200958.90410958903</v>
      </c>
      <c r="I78" s="86">
        <f>+C78+H78</f>
        <v>2700958.9041095888</v>
      </c>
    </row>
    <row r="79" spans="2:9" ht="14.4" x14ac:dyDescent="0.3">
      <c r="B79" s="87" t="s">
        <v>230</v>
      </c>
      <c r="C79" s="5">
        <v>2500000</v>
      </c>
      <c r="D79" s="2">
        <v>44772</v>
      </c>
      <c r="E79" s="2">
        <v>44926</v>
      </c>
      <c r="F79" s="59">
        <f>+E79-D79</f>
        <v>154</v>
      </c>
      <c r="G79" s="4">
        <v>0.18</v>
      </c>
      <c r="H79" s="5">
        <f>C79*F79*G79/365</f>
        <v>189863.01369863015</v>
      </c>
      <c r="I79" s="86">
        <f>+I78+H79</f>
        <v>2890821.9178082189</v>
      </c>
    </row>
    <row r="80" spans="2:9" ht="14.4" x14ac:dyDescent="0.3">
      <c r="B80" s="87" t="s">
        <v>231</v>
      </c>
      <c r="C80" s="5">
        <v>5000000</v>
      </c>
      <c r="D80" s="2">
        <v>44791</v>
      </c>
      <c r="E80" s="2">
        <v>44926</v>
      </c>
      <c r="F80" s="59">
        <f>+E80-D80</f>
        <v>135</v>
      </c>
      <c r="G80" s="4">
        <v>0.18</v>
      </c>
      <c r="H80" s="5">
        <f>C80*F80*G80/365</f>
        <v>332876.71232876711</v>
      </c>
      <c r="I80" s="86">
        <f>+I79+H80</f>
        <v>3223698.6301369858</v>
      </c>
    </row>
    <row r="81" spans="2:9" ht="14.4" x14ac:dyDescent="0.3">
      <c r="B81" s="87" t="s">
        <v>232</v>
      </c>
      <c r="C81" s="5">
        <f>+E99</f>
        <v>6125138</v>
      </c>
      <c r="D81" s="2">
        <v>44844</v>
      </c>
      <c r="E81" s="2">
        <v>44926</v>
      </c>
      <c r="F81" s="59">
        <f>+E81-D81</f>
        <v>82</v>
      </c>
      <c r="G81" s="4">
        <v>0.18</v>
      </c>
      <c r="H81" s="5">
        <f>C81*F81*G81/365</f>
        <v>247690.51199999999</v>
      </c>
      <c r="I81" s="86">
        <f>+I80+H81</f>
        <v>3471389.1421369859</v>
      </c>
    </row>
    <row r="82" spans="2:9" ht="14.4" x14ac:dyDescent="0.3">
      <c r="B82" s="87"/>
      <c r="C82" s="1"/>
      <c r="D82" s="2"/>
      <c r="E82" s="2"/>
      <c r="F82" s="59"/>
      <c r="G82" s="4"/>
      <c r="H82" s="5"/>
      <c r="I82" s="86"/>
    </row>
    <row r="83" spans="2:9" s="9" customFormat="1" ht="14.4" x14ac:dyDescent="0.3">
      <c r="B83" s="126"/>
      <c r="C83" s="8">
        <f>SUM(C78:C82)</f>
        <v>16125138</v>
      </c>
      <c r="D83" s="64"/>
      <c r="E83" s="64"/>
      <c r="F83" s="138"/>
      <c r="G83" s="127"/>
      <c r="H83" s="8">
        <f>SUM(H78:H82)</f>
        <v>971389.14213698625</v>
      </c>
      <c r="I83" s="88"/>
    </row>
    <row r="84" spans="2:9" ht="14.4" x14ac:dyDescent="0.3">
      <c r="B84" s="85"/>
      <c r="C84" s="5"/>
      <c r="D84" s="2"/>
      <c r="E84" s="2"/>
      <c r="F84" s="3"/>
      <c r="G84" s="4"/>
      <c r="H84" s="8"/>
      <c r="I84" s="86"/>
    </row>
    <row r="85" spans="2:9" ht="14.4" x14ac:dyDescent="0.3">
      <c r="B85" s="83"/>
      <c r="C85" s="566" t="s">
        <v>42</v>
      </c>
      <c r="D85" s="566"/>
      <c r="E85" s="566"/>
      <c r="F85" s="566"/>
      <c r="G85" s="566"/>
      <c r="H85" s="8">
        <f>+H83</f>
        <v>971389.14213698625</v>
      </c>
      <c r="I85" s="86"/>
    </row>
    <row r="86" spans="2:9" ht="14.4" x14ac:dyDescent="0.3">
      <c r="B86" s="83"/>
      <c r="C86" s="566" t="s">
        <v>43</v>
      </c>
      <c r="D86" s="566"/>
      <c r="E86" s="566"/>
      <c r="F86" s="566"/>
      <c r="G86" s="566"/>
      <c r="H86" s="8">
        <f>+C78</f>
        <v>2500000</v>
      </c>
      <c r="I86" s="86"/>
    </row>
    <row r="87" spans="2:9" ht="14.4" x14ac:dyDescent="0.3">
      <c r="B87" s="205"/>
      <c r="C87" s="543" t="s">
        <v>57</v>
      </c>
      <c r="D87" s="543"/>
      <c r="E87" s="543"/>
      <c r="F87" s="543"/>
      <c r="G87" s="543"/>
      <c r="H87" s="55">
        <f>SUM(H85:H86)</f>
        <v>3471389.1421369864</v>
      </c>
      <c r="I87" s="84"/>
    </row>
    <row r="88" spans="2:9" ht="14.4" x14ac:dyDescent="0.3">
      <c r="B88" s="171"/>
      <c r="C88" s="566"/>
      <c r="D88" s="566"/>
      <c r="E88" s="566"/>
      <c r="F88" s="566"/>
      <c r="G88" s="566"/>
      <c r="H88" s="8"/>
      <c r="I88" s="84"/>
    </row>
    <row r="89" spans="2:9" ht="15" thickBot="1" x14ac:dyDescent="0.35">
      <c r="B89" s="172"/>
      <c r="C89" s="555" t="s">
        <v>58</v>
      </c>
      <c r="D89" s="555"/>
      <c r="E89" s="555"/>
      <c r="F89" s="555"/>
      <c r="G89" s="555"/>
      <c r="H89" s="90">
        <f>SUM(H87:H88)</f>
        <v>3471389.1421369864</v>
      </c>
      <c r="I89" s="91"/>
    </row>
    <row r="95" spans="2:9" s="9" customFormat="1" ht="14.4" x14ac:dyDescent="0.3">
      <c r="B95" s="10" t="s">
        <v>234</v>
      </c>
      <c r="C95" s="10" t="s">
        <v>7</v>
      </c>
      <c r="D95" s="10" t="s">
        <v>235</v>
      </c>
      <c r="E95" s="10" t="s">
        <v>236</v>
      </c>
    </row>
    <row r="96" spans="2:9" ht="14.4" x14ac:dyDescent="0.3">
      <c r="B96" s="6" t="s">
        <v>229</v>
      </c>
      <c r="C96" s="6">
        <v>2500000</v>
      </c>
      <c r="D96" s="6">
        <v>0</v>
      </c>
      <c r="E96" s="6">
        <f>+C96-D96</f>
        <v>2500000</v>
      </c>
    </row>
    <row r="97" spans="2:5" ht="14.4" x14ac:dyDescent="0.3">
      <c r="B97" s="6" t="s">
        <v>230</v>
      </c>
      <c r="C97" s="6">
        <v>2500000</v>
      </c>
      <c r="D97" s="6">
        <v>0</v>
      </c>
      <c r="E97" s="6">
        <f>+C97-D97</f>
        <v>2500000</v>
      </c>
    </row>
    <row r="98" spans="2:5" ht="14.4" x14ac:dyDescent="0.3">
      <c r="B98" s="6" t="s">
        <v>231</v>
      </c>
      <c r="C98" s="6">
        <v>5000000</v>
      </c>
      <c r="D98" s="6">
        <v>0</v>
      </c>
      <c r="E98" s="6">
        <f>+C98-D98</f>
        <v>5000000</v>
      </c>
    </row>
    <row r="99" spans="2:5" ht="14.4" x14ac:dyDescent="0.3">
      <c r="B99" s="6" t="s">
        <v>232</v>
      </c>
      <c r="C99" s="6">
        <v>8473000</v>
      </c>
      <c r="D99" s="6">
        <f>2343862+4000</f>
        <v>2347862</v>
      </c>
      <c r="E99" s="6">
        <f>+C99-D99</f>
        <v>6125138</v>
      </c>
    </row>
    <row r="100" spans="2:5" ht="14.4" x14ac:dyDescent="0.3">
      <c r="C100" s="6"/>
      <c r="D100" s="6"/>
      <c r="E100" s="6"/>
    </row>
    <row r="101" spans="2:5" ht="14.4" x14ac:dyDescent="0.3">
      <c r="C101" s="6">
        <f>SUM(C96:C100)</f>
        <v>18473000</v>
      </c>
      <c r="D101" s="6">
        <f>SUM(D96:D100)</f>
        <v>2347862</v>
      </c>
      <c r="E101" s="6">
        <f>SUM(E96:E100)</f>
        <v>16125138</v>
      </c>
    </row>
    <row r="102" spans="2:5" ht="14.4" x14ac:dyDescent="0.3">
      <c r="C102" s="6"/>
      <c r="D102" s="6"/>
      <c r="E102" s="6"/>
    </row>
    <row r="125" spans="2:9" ht="15" thickBot="1" x14ac:dyDescent="0.4"/>
    <row r="126" spans="2:9" ht="19" thickBot="1" x14ac:dyDescent="0.5">
      <c r="B126" s="615" t="s">
        <v>242</v>
      </c>
      <c r="C126" s="616"/>
      <c r="D126" s="616"/>
      <c r="E126" s="616"/>
      <c r="F126" s="616"/>
      <c r="G126" s="616"/>
      <c r="H126" s="616"/>
      <c r="I126" s="617"/>
    </row>
    <row r="127" spans="2:9" ht="29" x14ac:dyDescent="0.35">
      <c r="B127" s="216" t="s">
        <v>1</v>
      </c>
      <c r="C127" s="217" t="s">
        <v>7</v>
      </c>
      <c r="D127" s="217" t="s">
        <v>2</v>
      </c>
      <c r="E127" s="217" t="s">
        <v>3</v>
      </c>
      <c r="F127" s="217" t="s">
        <v>4</v>
      </c>
      <c r="G127" s="217" t="s">
        <v>24</v>
      </c>
      <c r="H127" s="217" t="s">
        <v>6</v>
      </c>
      <c r="I127" s="218" t="s">
        <v>25</v>
      </c>
    </row>
    <row r="128" spans="2:9" x14ac:dyDescent="0.35">
      <c r="B128" s="83"/>
      <c r="C128" s="12" t="s">
        <v>8</v>
      </c>
      <c r="D128" s="1"/>
      <c r="E128" s="1"/>
      <c r="F128" s="1"/>
      <c r="G128" s="1"/>
      <c r="H128" s="1"/>
      <c r="I128" s="84"/>
    </row>
    <row r="129" spans="2:11" x14ac:dyDescent="0.35">
      <c r="B129" s="85" t="s">
        <v>243</v>
      </c>
      <c r="C129" s="1">
        <v>624000</v>
      </c>
      <c r="D129" s="2">
        <v>43669</v>
      </c>
      <c r="E129" s="2">
        <v>44034</v>
      </c>
      <c r="F129" s="59">
        <f>+E129-D129</f>
        <v>365</v>
      </c>
      <c r="G129" s="4">
        <v>0.156</v>
      </c>
      <c r="H129" s="5">
        <f>C129*F129*G129/365</f>
        <v>97344</v>
      </c>
      <c r="I129" s="86">
        <f>+C129+H129</f>
        <v>721344</v>
      </c>
      <c r="K129">
        <f>1.3*12</f>
        <v>15.600000000000001</v>
      </c>
    </row>
    <row r="130" spans="2:11" x14ac:dyDescent="0.35">
      <c r="B130" s="87"/>
      <c r="C130" s="5">
        <f>+I129</f>
        <v>721344</v>
      </c>
      <c r="D130" s="2">
        <v>44035</v>
      </c>
      <c r="E130" s="2">
        <v>44400</v>
      </c>
      <c r="F130" s="59">
        <f>+E130-D130</f>
        <v>365</v>
      </c>
      <c r="G130" s="4">
        <v>0.156</v>
      </c>
      <c r="H130" s="5">
        <f>C130*F130*G130/365</f>
        <v>112529.664</v>
      </c>
      <c r="I130" s="86">
        <f>+I129+H130</f>
        <v>833873.66399999999</v>
      </c>
    </row>
    <row r="131" spans="2:11" x14ac:dyDescent="0.35">
      <c r="B131" s="87"/>
      <c r="C131" s="5">
        <f>+I130</f>
        <v>833873.66399999999</v>
      </c>
      <c r="D131" s="2">
        <v>44400</v>
      </c>
      <c r="E131" s="2">
        <v>44765</v>
      </c>
      <c r="F131" s="59">
        <f>+E131-D131</f>
        <v>365</v>
      </c>
      <c r="G131" s="4">
        <v>0.156</v>
      </c>
      <c r="H131" s="5">
        <f>C131*F131*G131/365</f>
        <v>130084.29158400001</v>
      </c>
      <c r="I131" s="86">
        <f>+I130+H131</f>
        <v>963957.95558399998</v>
      </c>
    </row>
    <row r="132" spans="2:11" x14ac:dyDescent="0.35">
      <c r="B132" s="87"/>
      <c r="C132" s="5">
        <f>+I131</f>
        <v>963957.95558399998</v>
      </c>
      <c r="D132" s="2">
        <v>44765</v>
      </c>
      <c r="E132" s="2">
        <v>45119</v>
      </c>
      <c r="F132" s="59">
        <f>+E132-D132</f>
        <v>354</v>
      </c>
      <c r="G132" s="4">
        <v>0.156</v>
      </c>
      <c r="H132" s="5">
        <f>C132*F132*G132/365</f>
        <v>145845.51818950908</v>
      </c>
      <c r="I132" s="86">
        <f>+I131+H132</f>
        <v>1109803.473773509</v>
      </c>
    </row>
    <row r="133" spans="2:11" x14ac:dyDescent="0.35">
      <c r="B133" s="87"/>
      <c r="C133" s="5"/>
      <c r="D133" s="2"/>
      <c r="E133" s="2"/>
      <c r="F133" s="59"/>
      <c r="G133" s="4"/>
      <c r="H133" s="5"/>
      <c r="I133" s="86"/>
    </row>
    <row r="134" spans="2:11" x14ac:dyDescent="0.35">
      <c r="B134" s="87"/>
      <c r="C134" s="1"/>
      <c r="D134" s="2"/>
      <c r="E134" s="2"/>
      <c r="F134" s="59"/>
      <c r="G134" s="4"/>
      <c r="H134" s="5"/>
      <c r="I134" s="86"/>
    </row>
    <row r="135" spans="2:11" x14ac:dyDescent="0.35">
      <c r="B135" s="126"/>
      <c r="C135" s="8">
        <f>SUM(C129:C134)</f>
        <v>3143175.6195839997</v>
      </c>
      <c r="D135" s="64"/>
      <c r="E135" s="64"/>
      <c r="F135" s="138"/>
      <c r="G135" s="127"/>
      <c r="H135" s="8">
        <f>SUM(H129:H134)</f>
        <v>485803.47377350903</v>
      </c>
      <c r="I135" s="88"/>
    </row>
    <row r="136" spans="2:11" x14ac:dyDescent="0.35">
      <c r="B136" s="85"/>
      <c r="C136" s="5"/>
      <c r="D136" s="2"/>
      <c r="E136" s="2"/>
      <c r="F136" s="3"/>
      <c r="G136" s="4"/>
      <c r="H136" s="8"/>
      <c r="I136" s="86"/>
    </row>
    <row r="137" spans="2:11" x14ac:dyDescent="0.35">
      <c r="B137" s="83"/>
      <c r="C137" s="566" t="s">
        <v>42</v>
      </c>
      <c r="D137" s="566"/>
      <c r="E137" s="566"/>
      <c r="F137" s="566"/>
      <c r="G137" s="566"/>
      <c r="H137" s="8">
        <f>+H135</f>
        <v>485803.47377350903</v>
      </c>
      <c r="I137" s="86"/>
    </row>
    <row r="138" spans="2:11" x14ac:dyDescent="0.35">
      <c r="B138" s="83"/>
      <c r="C138" s="566" t="s">
        <v>43</v>
      </c>
      <c r="D138" s="566"/>
      <c r="E138" s="566"/>
      <c r="F138" s="566"/>
      <c r="G138" s="566"/>
      <c r="H138" s="8">
        <f>+C129</f>
        <v>624000</v>
      </c>
      <c r="I138" s="86"/>
    </row>
    <row r="139" spans="2:11" ht="15" thickBot="1" x14ac:dyDescent="0.4">
      <c r="B139" s="172"/>
      <c r="C139" s="555" t="s">
        <v>58</v>
      </c>
      <c r="D139" s="555"/>
      <c r="E139" s="555"/>
      <c r="F139" s="555"/>
      <c r="G139" s="555"/>
      <c r="H139" s="90">
        <f>+H137+H138</f>
        <v>1109803.473773509</v>
      </c>
      <c r="I139" s="91"/>
    </row>
    <row r="140" spans="2:11" x14ac:dyDescent="0.35">
      <c r="H140">
        <v>950000</v>
      </c>
    </row>
    <row r="141" spans="2:11" x14ac:dyDescent="0.35">
      <c r="H141" s="14">
        <f>+H139-H140</f>
        <v>159803.47377350903</v>
      </c>
    </row>
    <row r="146" spans="2:9" ht="15" thickBot="1" x14ac:dyDescent="0.4">
      <c r="C146" s="6"/>
      <c r="D146" s="6"/>
      <c r="E146" s="6"/>
      <c r="F146" s="6"/>
      <c r="G146" s="6"/>
      <c r="H146" s="6"/>
      <c r="I146" s="6"/>
    </row>
    <row r="147" spans="2:9" ht="19" thickBot="1" x14ac:dyDescent="0.5">
      <c r="B147" s="615" t="s">
        <v>308</v>
      </c>
      <c r="C147" s="616"/>
      <c r="D147" s="616"/>
      <c r="E147" s="616"/>
      <c r="F147" s="616"/>
      <c r="G147" s="616"/>
      <c r="H147" s="616"/>
      <c r="I147" s="617"/>
    </row>
    <row r="148" spans="2:9" ht="29" x14ac:dyDescent="0.35">
      <c r="B148" s="216" t="s">
        <v>1</v>
      </c>
      <c r="C148" s="217" t="s">
        <v>7</v>
      </c>
      <c r="D148" s="217" t="s">
        <v>2</v>
      </c>
      <c r="E148" s="217" t="s">
        <v>3</v>
      </c>
      <c r="F148" s="217" t="s">
        <v>4</v>
      </c>
      <c r="G148" s="217" t="s">
        <v>24</v>
      </c>
      <c r="H148" s="217" t="s">
        <v>6</v>
      </c>
      <c r="I148" s="218" t="s">
        <v>25</v>
      </c>
    </row>
    <row r="149" spans="2:9" x14ac:dyDescent="0.35">
      <c r="B149" s="83"/>
      <c r="C149" s="12" t="s">
        <v>8</v>
      </c>
      <c r="D149" s="15"/>
      <c r="E149" s="15"/>
      <c r="F149" s="15"/>
      <c r="G149" s="15"/>
      <c r="H149" s="15"/>
      <c r="I149" s="224"/>
    </row>
    <row r="150" spans="2:9" x14ac:dyDescent="0.35">
      <c r="B150" s="85" t="s">
        <v>244</v>
      </c>
      <c r="C150" s="15">
        <v>600000</v>
      </c>
      <c r="D150" s="17">
        <v>44883</v>
      </c>
      <c r="E150" s="17">
        <v>45156</v>
      </c>
      <c r="F150" s="56">
        <f>+E150-D150</f>
        <v>273</v>
      </c>
      <c r="G150" s="221">
        <v>0.18</v>
      </c>
      <c r="H150" s="54">
        <f>C150*F150*G150/365</f>
        <v>80778.082191780821</v>
      </c>
      <c r="I150" s="222">
        <f>+C150+H150</f>
        <v>680778.08219178079</v>
      </c>
    </row>
    <row r="151" spans="2:9" x14ac:dyDescent="0.35">
      <c r="B151" s="87" t="s">
        <v>245</v>
      </c>
      <c r="C151" s="54">
        <v>900000</v>
      </c>
      <c r="D151" s="17">
        <v>44985</v>
      </c>
      <c r="E151" s="17">
        <v>45156</v>
      </c>
      <c r="F151" s="56">
        <f>+E151-D151</f>
        <v>171</v>
      </c>
      <c r="G151" s="221">
        <v>0.18</v>
      </c>
      <c r="H151" s="54">
        <f>C151*F151*G151/365</f>
        <v>75895.890410958906</v>
      </c>
      <c r="I151" s="222">
        <f>+I150+H151</f>
        <v>756673.9726027397</v>
      </c>
    </row>
    <row r="152" spans="2:9" x14ac:dyDescent="0.35">
      <c r="B152" s="87"/>
      <c r="C152" s="54"/>
      <c r="D152" s="17"/>
      <c r="E152" s="17"/>
      <c r="F152" s="56"/>
      <c r="G152" s="221"/>
      <c r="H152" s="54"/>
      <c r="I152" s="222"/>
    </row>
    <row r="153" spans="2:9" x14ac:dyDescent="0.35">
      <c r="B153" s="87"/>
      <c r="C153" s="54"/>
      <c r="D153" s="17"/>
      <c r="E153" s="17"/>
      <c r="F153" s="56"/>
      <c r="G153" s="221"/>
      <c r="H153" s="54"/>
      <c r="I153" s="222"/>
    </row>
    <row r="154" spans="2:9" x14ac:dyDescent="0.35">
      <c r="B154" s="87"/>
      <c r="C154" s="54"/>
      <c r="D154" s="17"/>
      <c r="E154" s="17"/>
      <c r="F154" s="56"/>
      <c r="G154" s="221"/>
      <c r="H154" s="54"/>
      <c r="I154" s="222"/>
    </row>
    <row r="155" spans="2:9" x14ac:dyDescent="0.35">
      <c r="B155" s="87"/>
      <c r="C155" s="15"/>
      <c r="D155" s="17"/>
      <c r="E155" s="17"/>
      <c r="F155" s="56"/>
      <c r="G155" s="221"/>
      <c r="H155" s="54"/>
      <c r="I155" s="222"/>
    </row>
    <row r="156" spans="2:9" x14ac:dyDescent="0.35">
      <c r="B156" s="126"/>
      <c r="C156" s="40">
        <f>SUM(C150:C155)</f>
        <v>1500000</v>
      </c>
      <c r="D156" s="63"/>
      <c r="E156" s="63"/>
      <c r="F156" s="138"/>
      <c r="G156" s="289"/>
      <c r="H156" s="40">
        <f>SUM(H150:H155)</f>
        <v>156673.97260273973</v>
      </c>
      <c r="I156" s="223"/>
    </row>
    <row r="157" spans="2:9" x14ac:dyDescent="0.35">
      <c r="B157" s="85"/>
      <c r="C157" s="54"/>
      <c r="D157" s="17"/>
      <c r="E157" s="17"/>
      <c r="F157" s="16"/>
      <c r="G157" s="221"/>
      <c r="H157" s="40"/>
      <c r="I157" s="222"/>
    </row>
    <row r="158" spans="2:9" x14ac:dyDescent="0.35">
      <c r="B158" s="83"/>
      <c r="C158" s="566" t="s">
        <v>42</v>
      </c>
      <c r="D158" s="566"/>
      <c r="E158" s="566"/>
      <c r="F158" s="566"/>
      <c r="G158" s="566"/>
      <c r="H158" s="40">
        <f>+H156</f>
        <v>156673.97260273973</v>
      </c>
      <c r="I158" s="222"/>
    </row>
    <row r="159" spans="2:9" x14ac:dyDescent="0.35">
      <c r="B159" s="83"/>
      <c r="C159" s="566" t="s">
        <v>43</v>
      </c>
      <c r="D159" s="566"/>
      <c r="E159" s="566"/>
      <c r="F159" s="566"/>
      <c r="G159" s="566"/>
      <c r="H159" s="40">
        <f>+C156</f>
        <v>1500000</v>
      </c>
      <c r="I159" s="222"/>
    </row>
    <row r="160" spans="2:9" ht="15" thickBot="1" x14ac:dyDescent="0.4">
      <c r="B160" s="108"/>
      <c r="C160" s="555" t="s">
        <v>58</v>
      </c>
      <c r="D160" s="555"/>
      <c r="E160" s="555"/>
      <c r="F160" s="555"/>
      <c r="G160" s="555"/>
      <c r="H160" s="290">
        <f>+H158+H159</f>
        <v>1656673.9726027397</v>
      </c>
      <c r="I160" s="291"/>
    </row>
    <row r="163" spans="2:10" ht="15" thickBot="1" x14ac:dyDescent="0.4"/>
    <row r="164" spans="2:10" ht="19" thickBot="1" x14ac:dyDescent="0.5">
      <c r="B164" s="582" t="s">
        <v>309</v>
      </c>
      <c r="C164" s="583"/>
      <c r="D164" s="583"/>
      <c r="E164" s="583"/>
      <c r="F164" s="583"/>
      <c r="G164" s="583"/>
      <c r="H164" s="583"/>
      <c r="I164" s="583"/>
      <c r="J164" s="584"/>
    </row>
    <row r="165" spans="2:10" ht="29.5" thickBot="1" x14ac:dyDescent="0.4">
      <c r="B165" s="384" t="s">
        <v>1</v>
      </c>
      <c r="C165" s="385" t="s">
        <v>7</v>
      </c>
      <c r="D165" s="385" t="s">
        <v>156</v>
      </c>
      <c r="E165" s="385" t="s">
        <v>2</v>
      </c>
      <c r="F165" s="385" t="s">
        <v>3</v>
      </c>
      <c r="G165" s="385" t="s">
        <v>4</v>
      </c>
      <c r="H165" s="385" t="s">
        <v>24</v>
      </c>
      <c r="I165" s="385" t="s">
        <v>6</v>
      </c>
      <c r="J165" s="386" t="s">
        <v>25</v>
      </c>
    </row>
    <row r="166" spans="2:10" x14ac:dyDescent="0.35">
      <c r="B166" s="300"/>
      <c r="C166" s="335" t="s">
        <v>8</v>
      </c>
      <c r="D166" s="335"/>
      <c r="E166" s="93"/>
      <c r="F166" s="93"/>
      <c r="G166" s="93"/>
      <c r="H166" s="93"/>
      <c r="I166" s="93"/>
      <c r="J166" s="328"/>
    </row>
    <row r="167" spans="2:10" x14ac:dyDescent="0.35">
      <c r="B167" s="85" t="s">
        <v>307</v>
      </c>
      <c r="C167" s="15">
        <v>100000</v>
      </c>
      <c r="D167" s="15" t="s">
        <v>311</v>
      </c>
      <c r="E167" s="17">
        <v>45160</v>
      </c>
      <c r="F167" s="17">
        <v>45525</v>
      </c>
      <c r="G167" s="56">
        <f>+F167-E167</f>
        <v>365</v>
      </c>
      <c r="H167" s="221">
        <v>0.18</v>
      </c>
      <c r="I167" s="54">
        <f>C167*G167*H167/365</f>
        <v>18000</v>
      </c>
      <c r="J167" s="222">
        <f>+C167+I167</f>
        <v>118000</v>
      </c>
    </row>
    <row r="168" spans="2:10" x14ac:dyDescent="0.35">
      <c r="B168" s="85"/>
      <c r="C168" s="15"/>
      <c r="D168" s="15"/>
      <c r="E168" s="17">
        <f>+F167</f>
        <v>45525</v>
      </c>
      <c r="F168" s="17">
        <v>45639</v>
      </c>
      <c r="G168" s="56">
        <f>+F168-E168</f>
        <v>114</v>
      </c>
      <c r="H168" s="221">
        <v>0.18</v>
      </c>
      <c r="I168" s="54">
        <f>J167*G168*H168/365</f>
        <v>6633.8630136986303</v>
      </c>
      <c r="J168" s="222">
        <f>+J167+I168</f>
        <v>124633.86301369863</v>
      </c>
    </row>
    <row r="169" spans="2:10" x14ac:dyDescent="0.35">
      <c r="B169" s="85"/>
      <c r="C169" s="15"/>
      <c r="D169" s="15"/>
      <c r="E169" s="17"/>
      <c r="F169" s="17"/>
      <c r="G169" s="56"/>
      <c r="H169" s="221"/>
      <c r="I169" s="54"/>
      <c r="J169" s="222"/>
    </row>
    <row r="170" spans="2:10" x14ac:dyDescent="0.35">
      <c r="B170" s="87" t="s">
        <v>307</v>
      </c>
      <c r="C170" s="15">
        <v>300000</v>
      </c>
      <c r="D170" s="15" t="s">
        <v>158</v>
      </c>
      <c r="E170" s="17">
        <v>45160</v>
      </c>
      <c r="F170" s="17">
        <v>45525</v>
      </c>
      <c r="G170" s="56">
        <f>+F170-E170</f>
        <v>365</v>
      </c>
      <c r="H170" s="221">
        <v>0.18</v>
      </c>
      <c r="I170" s="54">
        <f>C170*G170*H170/365</f>
        <v>54000</v>
      </c>
      <c r="J170" s="222">
        <f>+C170+I170</f>
        <v>354000</v>
      </c>
    </row>
    <row r="171" spans="2:10" x14ac:dyDescent="0.35">
      <c r="B171" s="87"/>
      <c r="C171" s="15"/>
      <c r="D171" s="15"/>
      <c r="E171" s="17">
        <f>+F170</f>
        <v>45525</v>
      </c>
      <c r="F171" s="17">
        <v>45639</v>
      </c>
      <c r="G171" s="56">
        <f>+F171-E171</f>
        <v>114</v>
      </c>
      <c r="H171" s="221">
        <v>0.18</v>
      </c>
      <c r="I171" s="54">
        <f>J170*G171*H171/365</f>
        <v>19901.589041095889</v>
      </c>
      <c r="J171" s="222">
        <f>+J170+I171</f>
        <v>373901.58904109587</v>
      </c>
    </row>
    <row r="172" spans="2:10" x14ac:dyDescent="0.35">
      <c r="B172" s="87"/>
      <c r="C172" s="54"/>
      <c r="D172" s="54"/>
      <c r="E172" s="17"/>
      <c r="F172" s="17"/>
      <c r="G172" s="56"/>
      <c r="H172" s="221"/>
      <c r="I172" s="54"/>
      <c r="J172" s="222"/>
    </row>
    <row r="173" spans="2:10" x14ac:dyDescent="0.35">
      <c r="B173" s="87" t="s">
        <v>310</v>
      </c>
      <c r="C173" s="54">
        <v>1100000</v>
      </c>
      <c r="D173" s="54" t="s">
        <v>158</v>
      </c>
      <c r="E173" s="17">
        <v>45231</v>
      </c>
      <c r="F173" s="17">
        <v>45596</v>
      </c>
      <c r="G173" s="56">
        <f>+F173-E173</f>
        <v>365</v>
      </c>
      <c r="H173" s="221">
        <v>0.18</v>
      </c>
      <c r="I173" s="54">
        <f>C173*G173*H173/365</f>
        <v>198000</v>
      </c>
      <c r="J173" s="222">
        <f>+C173+I173</f>
        <v>1298000</v>
      </c>
    </row>
    <row r="174" spans="2:10" x14ac:dyDescent="0.35">
      <c r="B174" s="87"/>
      <c r="C174" s="54"/>
      <c r="D174" s="54"/>
      <c r="E174" s="17">
        <f>+F173</f>
        <v>45596</v>
      </c>
      <c r="F174" s="17">
        <v>45639</v>
      </c>
      <c r="G174" s="56">
        <f>+F174-E174</f>
        <v>43</v>
      </c>
      <c r="H174" s="221">
        <v>0.18</v>
      </c>
      <c r="I174" s="54">
        <f>J173*G174*H174/365</f>
        <v>27524.712328767124</v>
      </c>
      <c r="J174" s="222">
        <f>+J173+I174</f>
        <v>1325524.7123287672</v>
      </c>
    </row>
    <row r="175" spans="2:10" x14ac:dyDescent="0.35">
      <c r="B175" s="87"/>
      <c r="C175" s="54"/>
      <c r="D175" s="54"/>
      <c r="E175" s="17"/>
      <c r="F175" s="17"/>
      <c r="G175" s="56"/>
      <c r="H175" s="221"/>
      <c r="I175" s="54"/>
      <c r="J175" s="222"/>
    </row>
    <row r="176" spans="2:10" ht="15" thickBot="1" x14ac:dyDescent="0.4">
      <c r="B176" s="377"/>
      <c r="C176" s="233"/>
      <c r="D176" s="233"/>
      <c r="E176" s="140"/>
      <c r="F176" s="140"/>
      <c r="G176" s="142"/>
      <c r="H176" s="258"/>
      <c r="I176" s="232"/>
      <c r="J176" s="281"/>
    </row>
    <row r="177" spans="2:10" ht="15" thickBot="1" x14ac:dyDescent="0.4">
      <c r="B177" s="378" t="s">
        <v>57</v>
      </c>
      <c r="C177" s="225">
        <f>SUM(C167:C176)</f>
        <v>1500000</v>
      </c>
      <c r="D177" s="225"/>
      <c r="E177" s="379"/>
      <c r="F177" s="379"/>
      <c r="G177" s="380"/>
      <c r="H177" s="381"/>
      <c r="I177" s="225">
        <f>SUM(I167:I176)</f>
        <v>324060.16438356164</v>
      </c>
      <c r="J177" s="330"/>
    </row>
    <row r="178" spans="2:10" x14ac:dyDescent="0.35">
      <c r="B178" s="83"/>
      <c r="C178" s="566" t="s">
        <v>42</v>
      </c>
      <c r="D178" s="566"/>
      <c r="E178" s="566"/>
      <c r="F178" s="566"/>
      <c r="G178" s="566"/>
      <c r="H178" s="15"/>
      <c r="I178" s="40">
        <f>+I177</f>
        <v>324060.16438356164</v>
      </c>
      <c r="J178" s="222"/>
    </row>
    <row r="179" spans="2:10" ht="15" thickBot="1" x14ac:dyDescent="0.4">
      <c r="B179" s="179"/>
      <c r="C179" s="606" t="s">
        <v>43</v>
      </c>
      <c r="D179" s="606"/>
      <c r="E179" s="606"/>
      <c r="F179" s="606"/>
      <c r="G179" s="606"/>
      <c r="H179" s="233"/>
      <c r="I179" s="230">
        <f>+C177</f>
        <v>1500000</v>
      </c>
      <c r="J179" s="281"/>
    </row>
    <row r="180" spans="2:10" ht="15" thickBot="1" x14ac:dyDescent="0.4">
      <c r="B180" s="387"/>
      <c r="C180" s="625" t="s">
        <v>58</v>
      </c>
      <c r="D180" s="625"/>
      <c r="E180" s="625"/>
      <c r="F180" s="625"/>
      <c r="G180" s="625"/>
      <c r="H180" s="388"/>
      <c r="I180" s="390">
        <f>+I178+I179</f>
        <v>1824060.1643835616</v>
      </c>
      <c r="J180" s="389"/>
    </row>
  </sheetData>
  <mergeCells count="60">
    <mergeCell ref="C178:G178"/>
    <mergeCell ref="C179:G179"/>
    <mergeCell ref="C180:G180"/>
    <mergeCell ref="B164:J164"/>
    <mergeCell ref="C87:G87"/>
    <mergeCell ref="C88:G88"/>
    <mergeCell ref="B126:I126"/>
    <mergeCell ref="C137:G137"/>
    <mergeCell ref="C138:G138"/>
    <mergeCell ref="C89:G89"/>
    <mergeCell ref="C160:G160"/>
    <mergeCell ref="C63:G63"/>
    <mergeCell ref="B50:I50"/>
    <mergeCell ref="C59:G59"/>
    <mergeCell ref="C60:G60"/>
    <mergeCell ref="C61:G61"/>
    <mergeCell ref="C62:G62"/>
    <mergeCell ref="L31:P31"/>
    <mergeCell ref="L32:P32"/>
    <mergeCell ref="M14:Q14"/>
    <mergeCell ref="M15:Q15"/>
    <mergeCell ref="M16:Q16"/>
    <mergeCell ref="K23:R23"/>
    <mergeCell ref="L30:P30"/>
    <mergeCell ref="U3:Y3"/>
    <mergeCell ref="U4:Y4"/>
    <mergeCell ref="U5:Y5"/>
    <mergeCell ref="U6:Y6"/>
    <mergeCell ref="L2:S2"/>
    <mergeCell ref="C20:G20"/>
    <mergeCell ref="C21:G21"/>
    <mergeCell ref="B1:I1"/>
    <mergeCell ref="C11:G11"/>
    <mergeCell ref="C12:G12"/>
    <mergeCell ref="C13:G13"/>
    <mergeCell ref="C14:G14"/>
    <mergeCell ref="C15:G15"/>
    <mergeCell ref="C18:G18"/>
    <mergeCell ref="C19:G19"/>
    <mergeCell ref="B23:I23"/>
    <mergeCell ref="C30:G30"/>
    <mergeCell ref="C31:G31"/>
    <mergeCell ref="C32:G32"/>
    <mergeCell ref="B36:I36"/>
    <mergeCell ref="C44:G44"/>
    <mergeCell ref="C45:G45"/>
    <mergeCell ref="C46:G46"/>
    <mergeCell ref="C47:G47"/>
    <mergeCell ref="C48:G48"/>
    <mergeCell ref="B67:C67"/>
    <mergeCell ref="B68:C68"/>
    <mergeCell ref="B70:C70"/>
    <mergeCell ref="B66:C66"/>
    <mergeCell ref="B75:I75"/>
    <mergeCell ref="C85:G85"/>
    <mergeCell ref="C86:G86"/>
    <mergeCell ref="B147:I147"/>
    <mergeCell ref="C158:G158"/>
    <mergeCell ref="C159:G159"/>
    <mergeCell ref="C139:G139"/>
  </mergeCells>
  <printOptions horizontalCentered="1"/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60"/>
  <sheetViews>
    <sheetView topLeftCell="A316" zoomScale="77" zoomScaleNormal="77" workbookViewId="0">
      <selection activeCell="H358" sqref="H358"/>
    </sheetView>
  </sheetViews>
  <sheetFormatPr defaultRowHeight="14.5" x14ac:dyDescent="0.35"/>
  <cols>
    <col min="1" max="1" width="13" style="6" customWidth="1"/>
    <col min="2" max="2" width="14.453125" customWidth="1"/>
    <col min="3" max="3" width="18" bestFit="1" customWidth="1"/>
    <col min="4" max="4" width="25.54296875" bestFit="1" customWidth="1"/>
    <col min="5" max="5" width="15.453125" customWidth="1"/>
    <col min="6" max="6" width="11.08984375" bestFit="1" customWidth="1"/>
    <col min="7" max="7" width="9.90625" customWidth="1"/>
    <col min="8" max="8" width="15.6328125" bestFit="1" customWidth="1"/>
    <col min="9" max="9" width="12" bestFit="1" customWidth="1"/>
    <col min="12" max="12" width="14.90625" customWidth="1"/>
    <col min="13" max="13" width="15.54296875" customWidth="1"/>
    <col min="14" max="14" width="23.453125" customWidth="1"/>
    <col min="15" max="15" width="12.453125" bestFit="1" customWidth="1"/>
  </cols>
  <sheetData>
    <row r="1" spans="1:15" x14ac:dyDescent="0.35">
      <c r="A1"/>
    </row>
    <row r="2" spans="1:15" ht="18.5" x14ac:dyDescent="0.45">
      <c r="A2" s="542" t="s">
        <v>92</v>
      </c>
      <c r="B2" s="542"/>
      <c r="C2" s="542"/>
      <c r="D2" s="542"/>
      <c r="E2" s="542"/>
      <c r="F2" s="542"/>
      <c r="G2" s="542"/>
      <c r="H2" s="542"/>
      <c r="I2" s="542"/>
    </row>
    <row r="4" spans="1:15" ht="21" x14ac:dyDescent="0.5">
      <c r="A4" s="520" t="s">
        <v>8</v>
      </c>
      <c r="B4" s="521"/>
      <c r="C4" s="521"/>
      <c r="D4" s="521"/>
      <c r="E4" s="521"/>
      <c r="F4" s="521"/>
      <c r="G4" s="521"/>
      <c r="H4" s="521"/>
      <c r="I4" s="522"/>
    </row>
    <row r="5" spans="1:15" s="10" customFormat="1" x14ac:dyDescent="0.35">
      <c r="A5" s="12" t="s">
        <v>1</v>
      </c>
      <c r="B5" s="12" t="s">
        <v>7</v>
      </c>
      <c r="C5" s="12"/>
      <c r="D5" s="12" t="s">
        <v>2</v>
      </c>
      <c r="E5" s="12" t="s">
        <v>3</v>
      </c>
      <c r="F5" s="12" t="s">
        <v>4</v>
      </c>
      <c r="G5" s="12" t="s">
        <v>24</v>
      </c>
      <c r="H5" s="12" t="s">
        <v>6</v>
      </c>
      <c r="I5" s="12" t="s">
        <v>25</v>
      </c>
    </row>
    <row r="6" spans="1:15" x14ac:dyDescent="0.35">
      <c r="A6" s="64">
        <v>42956</v>
      </c>
      <c r="B6" s="1">
        <v>600000</v>
      </c>
      <c r="C6" s="1"/>
      <c r="D6" s="2">
        <v>42956</v>
      </c>
      <c r="E6" s="2">
        <v>43321</v>
      </c>
      <c r="F6" s="3">
        <f>+E6-D6</f>
        <v>365</v>
      </c>
      <c r="G6" s="4">
        <v>0.18</v>
      </c>
      <c r="H6" s="80">
        <f>B6*G6*F6/365</f>
        <v>108000</v>
      </c>
      <c r="I6" s="5">
        <f>+B6+H6</f>
        <v>708000</v>
      </c>
    </row>
    <row r="7" spans="1:15" x14ac:dyDescent="0.35">
      <c r="A7" s="64"/>
      <c r="B7" s="5">
        <f>+I6</f>
        <v>708000</v>
      </c>
      <c r="C7" s="5"/>
      <c r="D7" s="2">
        <f>+E6</f>
        <v>43321</v>
      </c>
      <c r="E7" s="2">
        <v>43686</v>
      </c>
      <c r="F7" s="3">
        <f t="shared" ref="F7:F8" si="0">+E7-D7</f>
        <v>365</v>
      </c>
      <c r="G7" s="4">
        <v>0.18</v>
      </c>
      <c r="H7" s="80">
        <f>B7*G7*F7/365</f>
        <v>127440</v>
      </c>
      <c r="I7" s="5">
        <f>+B7+H7</f>
        <v>835440</v>
      </c>
    </row>
    <row r="8" spans="1:15" x14ac:dyDescent="0.35">
      <c r="A8" s="64"/>
      <c r="B8" s="5">
        <f>+I6</f>
        <v>708000</v>
      </c>
      <c r="C8" s="5"/>
      <c r="D8" s="2">
        <f>+E7</f>
        <v>43686</v>
      </c>
      <c r="E8" s="2">
        <v>43881</v>
      </c>
      <c r="F8" s="3">
        <f t="shared" si="0"/>
        <v>195</v>
      </c>
      <c r="G8" s="4">
        <v>0.18</v>
      </c>
      <c r="H8" s="80">
        <f>B8*G8*F8/365</f>
        <v>68084.38356164383</v>
      </c>
      <c r="I8" s="5">
        <f>+B8+H8</f>
        <v>776084.38356164377</v>
      </c>
    </row>
    <row r="9" spans="1:15" x14ac:dyDescent="0.35">
      <c r="A9" s="16"/>
      <c r="B9" s="5"/>
      <c r="C9" s="5"/>
      <c r="D9" s="2"/>
      <c r="E9" s="2"/>
      <c r="F9" s="3"/>
      <c r="G9" s="4"/>
      <c r="H9" s="5"/>
      <c r="I9" s="5"/>
      <c r="K9">
        <v>5000000</v>
      </c>
      <c r="L9" s="46">
        <v>42826</v>
      </c>
      <c r="M9" s="46">
        <v>42908</v>
      </c>
      <c r="N9">
        <f>M9-L9</f>
        <v>82</v>
      </c>
      <c r="O9">
        <f>K9*0.21*N9/365</f>
        <v>235890.4109589041</v>
      </c>
    </row>
    <row r="10" spans="1:15" x14ac:dyDescent="0.35">
      <c r="A10" s="16"/>
      <c r="B10" s="8">
        <f>+B6</f>
        <v>600000</v>
      </c>
      <c r="C10" s="367"/>
      <c r="D10" s="528" t="s">
        <v>10</v>
      </c>
      <c r="E10" s="529"/>
      <c r="F10" s="529"/>
      <c r="G10" s="530"/>
      <c r="H10" s="55">
        <f>+SUM(H6:H9)</f>
        <v>303524.38356164383</v>
      </c>
      <c r="I10" s="8">
        <f>+H10+B10</f>
        <v>903524.38356164377</v>
      </c>
      <c r="K10">
        <v>2500000</v>
      </c>
      <c r="L10" s="46">
        <v>42908</v>
      </c>
      <c r="M10" s="46">
        <v>43121</v>
      </c>
      <c r="N10">
        <f>M10-L10</f>
        <v>213</v>
      </c>
      <c r="O10">
        <f>K10*0.21*N10/365</f>
        <v>306369.8630136986</v>
      </c>
    </row>
    <row r="11" spans="1:15" x14ac:dyDescent="0.35">
      <c r="O11">
        <f>SUM(O9:O10)</f>
        <v>542260.27397260268</v>
      </c>
    </row>
    <row r="12" spans="1:15" ht="21" x14ac:dyDescent="0.5">
      <c r="A12" s="520" t="s">
        <v>21</v>
      </c>
      <c r="B12" s="521"/>
      <c r="C12" s="521"/>
      <c r="D12" s="521"/>
      <c r="E12" s="521"/>
      <c r="F12" s="521"/>
      <c r="G12" s="521"/>
      <c r="H12" s="521"/>
      <c r="I12" s="522"/>
    </row>
    <row r="13" spans="1:15" s="6" customFormat="1" x14ac:dyDescent="0.35">
      <c r="A13" s="12" t="s">
        <v>1</v>
      </c>
      <c r="B13" s="12" t="s">
        <v>7</v>
      </c>
      <c r="C13" s="12"/>
      <c r="D13" s="12" t="s">
        <v>2</v>
      </c>
      <c r="E13" s="12" t="s">
        <v>3</v>
      </c>
      <c r="F13" s="12" t="s">
        <v>4</v>
      </c>
      <c r="G13" s="12" t="s">
        <v>5</v>
      </c>
      <c r="H13" s="12" t="s">
        <v>6</v>
      </c>
      <c r="I13" s="12"/>
    </row>
    <row r="14" spans="1:15" x14ac:dyDescent="0.35">
      <c r="A14" s="63">
        <v>43062</v>
      </c>
      <c r="B14" s="1">
        <v>100000</v>
      </c>
      <c r="C14" s="1"/>
      <c r="D14" s="2">
        <f>+A14</f>
        <v>43062</v>
      </c>
      <c r="E14" s="2">
        <v>43427</v>
      </c>
      <c r="F14" s="3">
        <f>+E14-D14</f>
        <v>365</v>
      </c>
      <c r="G14" s="4">
        <v>0.18</v>
      </c>
      <c r="H14" s="5">
        <f>B14*F14*G14/365</f>
        <v>18000</v>
      </c>
      <c r="I14" s="5">
        <f>+B14+H14</f>
        <v>118000</v>
      </c>
    </row>
    <row r="15" spans="1:15" x14ac:dyDescent="0.35">
      <c r="A15" s="63"/>
      <c r="B15" s="5">
        <f>+I14</f>
        <v>118000</v>
      </c>
      <c r="C15" s="5"/>
      <c r="D15" s="2">
        <f>+E14</f>
        <v>43427</v>
      </c>
      <c r="E15" s="2">
        <v>43792</v>
      </c>
      <c r="F15" s="3">
        <f t="shared" ref="F15:F16" si="1">+E15-D15</f>
        <v>365</v>
      </c>
      <c r="G15" s="4">
        <v>0.18</v>
      </c>
      <c r="H15" s="5">
        <f t="shared" ref="H15:H16" si="2">B15*F15*G15/365</f>
        <v>21240</v>
      </c>
      <c r="I15" s="5">
        <f t="shared" ref="I15:I16" si="3">+B15+H15</f>
        <v>139240</v>
      </c>
    </row>
    <row r="16" spans="1:15" x14ac:dyDescent="0.35">
      <c r="A16" s="63"/>
      <c r="B16" s="5">
        <f>+I15</f>
        <v>139240</v>
      </c>
      <c r="C16" s="5"/>
      <c r="D16" s="2">
        <f>+E15</f>
        <v>43792</v>
      </c>
      <c r="E16" s="2">
        <v>43881</v>
      </c>
      <c r="F16" s="3">
        <f t="shared" si="1"/>
        <v>89</v>
      </c>
      <c r="G16" s="4">
        <v>0.18</v>
      </c>
      <c r="H16" s="5">
        <f t="shared" si="2"/>
        <v>6111.3008219178073</v>
      </c>
      <c r="I16" s="5">
        <f t="shared" si="3"/>
        <v>145351.3008219178</v>
      </c>
    </row>
    <row r="17" spans="1:9" x14ac:dyDescent="0.35">
      <c r="A17" s="63"/>
      <c r="B17" s="1"/>
      <c r="C17" s="1"/>
      <c r="D17" s="2"/>
      <c r="E17" s="2"/>
      <c r="F17" s="3"/>
      <c r="G17" s="4"/>
      <c r="H17" s="5"/>
      <c r="I17" s="5"/>
    </row>
    <row r="18" spans="1:9" x14ac:dyDescent="0.35">
      <c r="A18" s="63"/>
      <c r="B18" s="1"/>
      <c r="C18" s="1"/>
      <c r="D18" s="2"/>
      <c r="E18" s="2"/>
      <c r="F18" s="3"/>
      <c r="G18" s="4"/>
      <c r="H18" s="5"/>
      <c r="I18" s="5"/>
    </row>
    <row r="19" spans="1:9" x14ac:dyDescent="0.35">
      <c r="A19" s="17">
        <v>43210</v>
      </c>
      <c r="B19" s="5">
        <v>100000</v>
      </c>
      <c r="C19" s="5"/>
      <c r="D19" s="2">
        <v>43210</v>
      </c>
      <c r="E19" s="2">
        <v>43575</v>
      </c>
      <c r="F19" s="3">
        <f>+E19-D19</f>
        <v>365</v>
      </c>
      <c r="G19" s="4">
        <v>0.18</v>
      </c>
      <c r="H19" s="5">
        <f>B19*F19*G19/365</f>
        <v>18000</v>
      </c>
      <c r="I19" s="5">
        <f>+B19+H19</f>
        <v>118000</v>
      </c>
    </row>
    <row r="20" spans="1:9" x14ac:dyDescent="0.35">
      <c r="A20" s="17"/>
      <c r="B20" s="5">
        <f>+I19</f>
        <v>118000</v>
      </c>
      <c r="C20" s="5"/>
      <c r="D20" s="2">
        <f>+E19</f>
        <v>43575</v>
      </c>
      <c r="E20" s="2">
        <v>43881</v>
      </c>
      <c r="F20" s="3">
        <f>+E20-D20</f>
        <v>306</v>
      </c>
      <c r="G20" s="4">
        <v>0.18</v>
      </c>
      <c r="H20" s="5">
        <f>B20*F20*G20/365</f>
        <v>17806.68493150685</v>
      </c>
      <c r="I20" s="5">
        <f>+B20+H20</f>
        <v>135806.68493150684</v>
      </c>
    </row>
    <row r="21" spans="1:9" x14ac:dyDescent="0.35">
      <c r="A21" s="17"/>
      <c r="B21" s="5"/>
      <c r="C21" s="5"/>
      <c r="D21" s="2"/>
      <c r="E21" s="2"/>
      <c r="F21" s="3"/>
      <c r="G21" s="4"/>
      <c r="H21" s="5"/>
      <c r="I21" s="5"/>
    </row>
    <row r="22" spans="1:9" x14ac:dyDescent="0.35">
      <c r="A22" s="17"/>
      <c r="B22" s="5"/>
      <c r="C22" s="5"/>
      <c r="D22" s="2"/>
      <c r="E22" s="2"/>
      <c r="F22" s="3"/>
      <c r="G22" s="4"/>
      <c r="H22" s="5"/>
      <c r="I22" s="5"/>
    </row>
    <row r="23" spans="1:9" x14ac:dyDescent="0.35">
      <c r="A23" s="17">
        <v>43269</v>
      </c>
      <c r="B23" s="5">
        <v>100000</v>
      </c>
      <c r="C23" s="5"/>
      <c r="D23" s="2">
        <f>+A23</f>
        <v>43269</v>
      </c>
      <c r="E23" s="2">
        <v>43634</v>
      </c>
      <c r="F23" s="3">
        <f>+E23-D23</f>
        <v>365</v>
      </c>
      <c r="G23" s="4">
        <v>0.18</v>
      </c>
      <c r="H23" s="5">
        <f>B23*F23*G23/365</f>
        <v>18000</v>
      </c>
      <c r="I23" s="5">
        <f>+B23+H23</f>
        <v>118000</v>
      </c>
    </row>
    <row r="24" spans="1:9" x14ac:dyDescent="0.35">
      <c r="A24" s="17"/>
      <c r="B24" s="5">
        <f>+I23</f>
        <v>118000</v>
      </c>
      <c r="C24" s="5"/>
      <c r="D24" s="2">
        <f>+E23</f>
        <v>43634</v>
      </c>
      <c r="E24" s="2">
        <v>43881</v>
      </c>
      <c r="F24" s="3">
        <f>+E24-D24</f>
        <v>247</v>
      </c>
      <c r="G24" s="4">
        <v>0.18</v>
      </c>
      <c r="H24" s="5">
        <f>B24*F24*G24/365</f>
        <v>14373.369863013699</v>
      </c>
      <c r="I24" s="5">
        <f>+B24+H24</f>
        <v>132373.36986301371</v>
      </c>
    </row>
    <row r="25" spans="1:9" x14ac:dyDescent="0.35">
      <c r="A25" s="17"/>
      <c r="B25" s="5"/>
      <c r="C25" s="5"/>
      <c r="D25" s="2"/>
      <c r="E25" s="2"/>
      <c r="F25" s="3"/>
      <c r="G25" s="4"/>
      <c r="H25" s="5"/>
      <c r="I25" s="5"/>
    </row>
    <row r="26" spans="1:9" x14ac:dyDescent="0.35">
      <c r="A26" s="17">
        <v>43701</v>
      </c>
      <c r="B26" s="5">
        <v>250000</v>
      </c>
      <c r="C26" s="5"/>
      <c r="D26" s="17">
        <v>43701</v>
      </c>
      <c r="E26" s="2">
        <v>43881</v>
      </c>
      <c r="F26" s="3">
        <f>+E26-D26</f>
        <v>180</v>
      </c>
      <c r="G26" s="4">
        <v>0.18</v>
      </c>
      <c r="H26" s="5">
        <f>B26*F26*G26/365</f>
        <v>22191.780821917808</v>
      </c>
      <c r="I26" s="5">
        <f>+B26+H26</f>
        <v>272191.78082191781</v>
      </c>
    </row>
    <row r="27" spans="1:9" x14ac:dyDescent="0.35">
      <c r="A27" s="17">
        <v>43881</v>
      </c>
      <c r="B27" s="5">
        <v>250000</v>
      </c>
      <c r="C27" s="5"/>
      <c r="D27" s="17">
        <v>43881</v>
      </c>
      <c r="E27" s="2">
        <v>43881</v>
      </c>
      <c r="F27" s="3">
        <f>+E27-D27</f>
        <v>0</v>
      </c>
      <c r="G27" s="4">
        <v>0.18</v>
      </c>
      <c r="H27" s="5">
        <f>B27*F27*G27/365</f>
        <v>0</v>
      </c>
      <c r="I27" s="5">
        <f>+B27+H27</f>
        <v>250000</v>
      </c>
    </row>
    <row r="28" spans="1:9" x14ac:dyDescent="0.35">
      <c r="A28" s="17"/>
      <c r="B28" s="1"/>
      <c r="C28" s="1"/>
      <c r="D28" s="2"/>
      <c r="E28" s="2"/>
      <c r="F28" s="3"/>
      <c r="G28" s="4"/>
      <c r="H28" s="5"/>
      <c r="I28" s="5"/>
    </row>
    <row r="29" spans="1:9" x14ac:dyDescent="0.35">
      <c r="A29" s="15"/>
      <c r="B29" s="8"/>
      <c r="C29" s="367"/>
      <c r="D29" s="528" t="s">
        <v>11</v>
      </c>
      <c r="E29" s="529"/>
      <c r="F29" s="529"/>
      <c r="G29" s="530"/>
      <c r="H29" s="55">
        <f>+SUM(H14:H28)</f>
        <v>135723.13643835616</v>
      </c>
      <c r="I29" s="8">
        <f>+SUM(I28:I28)</f>
        <v>0</v>
      </c>
    </row>
    <row r="31" spans="1:9" x14ac:dyDescent="0.35">
      <c r="A31" s="570" t="s">
        <v>15</v>
      </c>
      <c r="B31" s="570"/>
      <c r="C31" s="570"/>
      <c r="D31" s="570"/>
      <c r="E31" s="570"/>
      <c r="F31" s="570"/>
      <c r="G31" s="570"/>
      <c r="H31" s="14"/>
    </row>
    <row r="32" spans="1:9" x14ac:dyDescent="0.35">
      <c r="A32" s="12"/>
      <c r="B32" s="539"/>
      <c r="C32" s="541"/>
      <c r="D32" s="540"/>
      <c r="E32" s="12" t="s">
        <v>8</v>
      </c>
      <c r="F32" s="543" t="s">
        <v>21</v>
      </c>
      <c r="G32" s="543"/>
    </row>
    <row r="33" spans="1:9" x14ac:dyDescent="0.35">
      <c r="A33" s="17">
        <v>42826</v>
      </c>
      <c r="B33" s="566" t="s">
        <v>8</v>
      </c>
      <c r="C33" s="566"/>
      <c r="D33" s="566"/>
      <c r="E33" s="15">
        <f>+B6</f>
        <v>600000</v>
      </c>
      <c r="F33" s="566"/>
      <c r="G33" s="566"/>
      <c r="H33" s="14"/>
    </row>
    <row r="34" spans="1:9" x14ac:dyDescent="0.35">
      <c r="A34" s="15"/>
      <c r="B34" s="566" t="s">
        <v>28</v>
      </c>
      <c r="C34" s="566"/>
      <c r="D34" s="566"/>
      <c r="E34" s="54">
        <f>+H10</f>
        <v>303524.38356164383</v>
      </c>
      <c r="F34" s="566"/>
      <c r="G34" s="566"/>
    </row>
    <row r="35" spans="1:9" x14ac:dyDescent="0.35">
      <c r="A35" s="15" t="s">
        <v>20</v>
      </c>
      <c r="B35" s="566"/>
      <c r="C35" s="566"/>
      <c r="D35" s="566"/>
      <c r="E35" s="15"/>
      <c r="F35" s="566"/>
      <c r="G35" s="566"/>
    </row>
    <row r="36" spans="1:9" x14ac:dyDescent="0.35">
      <c r="A36" s="63">
        <v>42908</v>
      </c>
      <c r="B36" s="566" t="s">
        <v>21</v>
      </c>
      <c r="C36" s="566"/>
      <c r="D36" s="566"/>
      <c r="E36" s="15"/>
      <c r="F36" s="568">
        <f>+B14+B19+B23+B26+B27</f>
        <v>800000</v>
      </c>
      <c r="G36" s="566"/>
      <c r="I36" s="14">
        <f>H10-H29</f>
        <v>167801.24712328767</v>
      </c>
    </row>
    <row r="37" spans="1:9" x14ac:dyDescent="0.35">
      <c r="A37" s="17"/>
      <c r="B37" s="566" t="s">
        <v>28</v>
      </c>
      <c r="C37" s="566"/>
      <c r="D37" s="566"/>
      <c r="E37" s="15"/>
      <c r="F37" s="568">
        <f>+H29</f>
        <v>135723.13643835616</v>
      </c>
      <c r="G37" s="568"/>
    </row>
    <row r="38" spans="1:9" x14ac:dyDescent="0.35">
      <c r="A38" s="15"/>
      <c r="B38" s="566"/>
      <c r="C38" s="566"/>
      <c r="D38" s="566"/>
      <c r="E38" s="15"/>
      <c r="F38" s="566"/>
      <c r="G38" s="566"/>
      <c r="H38" s="11"/>
    </row>
    <row r="39" spans="1:9" x14ac:dyDescent="0.35">
      <c r="A39" s="15"/>
      <c r="B39" s="566" t="s">
        <v>22</v>
      </c>
      <c r="C39" s="566"/>
      <c r="D39" s="566"/>
      <c r="E39" s="54">
        <f>SUM(E33:E38)</f>
        <v>903524.38356164377</v>
      </c>
      <c r="F39" s="568">
        <f>SUM(F36:G38)</f>
        <v>935723.13643835613</v>
      </c>
      <c r="G39" s="568"/>
    </row>
    <row r="40" spans="1:9" x14ac:dyDescent="0.35">
      <c r="A40" s="65"/>
      <c r="B40" s="567" t="s">
        <v>56</v>
      </c>
      <c r="C40" s="567"/>
      <c r="D40" s="567"/>
      <c r="E40" s="66"/>
      <c r="F40" s="569">
        <f>+E39-F39</f>
        <v>-32198.752876712359</v>
      </c>
      <c r="G40" s="569"/>
    </row>
    <row r="42" spans="1:9" ht="15" thickBot="1" x14ac:dyDescent="0.4"/>
    <row r="43" spans="1:9" ht="18.5" x14ac:dyDescent="0.45">
      <c r="A43" s="511" t="s">
        <v>112</v>
      </c>
      <c r="B43" s="512"/>
      <c r="C43" s="512"/>
      <c r="D43" s="512"/>
      <c r="E43" s="512"/>
      <c r="F43" s="512"/>
      <c r="G43" s="512"/>
      <c r="H43" s="512"/>
      <c r="I43" s="513"/>
    </row>
    <row r="44" spans="1:9" x14ac:dyDescent="0.35">
      <c r="A44" s="105"/>
      <c r="I44" s="107"/>
    </row>
    <row r="45" spans="1:9" x14ac:dyDescent="0.35">
      <c r="A45" s="81" t="s">
        <v>1</v>
      </c>
      <c r="B45" s="41" t="s">
        <v>7</v>
      </c>
      <c r="C45" s="41"/>
      <c r="D45" s="41" t="s">
        <v>2</v>
      </c>
      <c r="E45" s="41" t="s">
        <v>3</v>
      </c>
      <c r="F45" s="41" t="s">
        <v>4</v>
      </c>
      <c r="G45" s="41" t="s">
        <v>24</v>
      </c>
      <c r="H45" s="41" t="s">
        <v>6</v>
      </c>
      <c r="I45" s="82" t="s">
        <v>25</v>
      </c>
    </row>
    <row r="46" spans="1:9" x14ac:dyDescent="0.35">
      <c r="A46" s="83"/>
      <c r="B46" s="12" t="s">
        <v>8</v>
      </c>
      <c r="C46" s="12"/>
      <c r="D46" s="1"/>
      <c r="E46" s="1"/>
      <c r="F46" s="1"/>
      <c r="G46" s="1"/>
      <c r="H46" s="1"/>
      <c r="I46" s="84"/>
    </row>
    <row r="47" spans="1:9" x14ac:dyDescent="0.35">
      <c r="A47" s="85">
        <v>43784</v>
      </c>
      <c r="B47" s="1">
        <v>3000000</v>
      </c>
      <c r="C47" s="1"/>
      <c r="D47" s="2">
        <v>43784</v>
      </c>
      <c r="E47" s="2">
        <v>44150</v>
      </c>
      <c r="F47" s="59">
        <v>365</v>
      </c>
      <c r="G47" s="4">
        <v>0.18</v>
      </c>
      <c r="H47" s="5">
        <f>B47*F47*G47/365</f>
        <v>540000</v>
      </c>
      <c r="I47" s="86">
        <f>+B47+H47</f>
        <v>3540000</v>
      </c>
    </row>
    <row r="48" spans="1:9" x14ac:dyDescent="0.35">
      <c r="A48" s="87"/>
      <c r="B48" s="5"/>
      <c r="C48" s="5"/>
      <c r="D48" s="2">
        <f>+E47</f>
        <v>44150</v>
      </c>
      <c r="E48" s="2">
        <v>44227</v>
      </c>
      <c r="F48" s="58">
        <f t="shared" ref="F48" si="4">+E48-D48</f>
        <v>77</v>
      </c>
      <c r="G48" s="4">
        <v>0.18</v>
      </c>
      <c r="H48" s="5">
        <f>I47*F48*G48/365</f>
        <v>134423.01369863015</v>
      </c>
      <c r="I48" s="110">
        <f>+I47+H48</f>
        <v>3674423.01369863</v>
      </c>
    </row>
    <row r="49" spans="1:19" x14ac:dyDescent="0.35">
      <c r="A49" s="87"/>
      <c r="B49" s="5"/>
      <c r="C49" s="5"/>
      <c r="D49" s="2"/>
      <c r="E49" s="2" t="s">
        <v>94</v>
      </c>
      <c r="F49" s="58"/>
      <c r="G49" s="4"/>
      <c r="H49" s="5"/>
      <c r="I49" s="88"/>
    </row>
    <row r="50" spans="1:19" x14ac:dyDescent="0.35">
      <c r="A50" s="87"/>
      <c r="B50" s="5"/>
      <c r="C50" s="5"/>
      <c r="D50" s="2"/>
      <c r="E50" s="2"/>
      <c r="F50" s="56"/>
      <c r="G50" s="4"/>
      <c r="H50" s="8">
        <f>+SUM(H47:H48)</f>
        <v>674423.01369863015</v>
      </c>
      <c r="I50" s="86"/>
    </row>
    <row r="51" spans="1:19" x14ac:dyDescent="0.35">
      <c r="A51" s="105"/>
      <c r="F51" s="106"/>
      <c r="I51" s="107"/>
    </row>
    <row r="52" spans="1:19" x14ac:dyDescent="0.35">
      <c r="A52" s="85">
        <v>44012</v>
      </c>
      <c r="B52" s="1">
        <v>1500000</v>
      </c>
      <c r="C52" s="1"/>
      <c r="D52" s="2">
        <v>44012</v>
      </c>
      <c r="E52" s="2">
        <v>44227</v>
      </c>
      <c r="F52" s="56">
        <f>+E52-D52</f>
        <v>215</v>
      </c>
      <c r="G52" s="4">
        <v>0.18</v>
      </c>
      <c r="H52" s="5">
        <f>B52*F52*G52/365</f>
        <v>159041.09589041097</v>
      </c>
      <c r="I52" s="110">
        <f>+B52+H52</f>
        <v>1659041.0958904109</v>
      </c>
    </row>
    <row r="53" spans="1:19" x14ac:dyDescent="0.35">
      <c r="A53" s="85"/>
      <c r="B53" s="1"/>
      <c r="C53" s="1"/>
      <c r="D53" s="2"/>
      <c r="E53" s="2"/>
      <c r="F53" s="56"/>
      <c r="G53" s="4"/>
      <c r="H53" s="5"/>
      <c r="I53" s="88"/>
    </row>
    <row r="54" spans="1:19" x14ac:dyDescent="0.35">
      <c r="A54" s="87"/>
      <c r="B54" s="5"/>
      <c r="C54" s="5"/>
      <c r="D54" s="2"/>
      <c r="E54" s="2"/>
      <c r="F54" s="3"/>
      <c r="G54" s="4"/>
      <c r="H54" s="8">
        <f>+SUM(H52:H52)</f>
        <v>159041.09589041097</v>
      </c>
      <c r="I54" s="86"/>
    </row>
    <row r="55" spans="1:19" x14ac:dyDescent="0.35">
      <c r="A55" s="87"/>
      <c r="B55" s="5"/>
      <c r="C55" s="5"/>
      <c r="D55" s="2"/>
      <c r="E55" s="2"/>
      <c r="F55" s="3"/>
      <c r="G55" s="4"/>
      <c r="H55" s="8"/>
      <c r="I55" s="86"/>
    </row>
    <row r="56" spans="1:19" x14ac:dyDescent="0.35">
      <c r="A56" s="85"/>
      <c r="B56" s="514" t="s">
        <v>42</v>
      </c>
      <c r="C56" s="515"/>
      <c r="D56" s="515"/>
      <c r="E56" s="515"/>
      <c r="F56" s="515"/>
      <c r="G56" s="516"/>
      <c r="H56" s="8">
        <f>+H50+H54</f>
        <v>833464.10958904109</v>
      </c>
      <c r="I56" s="86"/>
    </row>
    <row r="57" spans="1:19" x14ac:dyDescent="0.35">
      <c r="A57" s="85"/>
      <c r="B57" s="514" t="s">
        <v>43</v>
      </c>
      <c r="C57" s="515"/>
      <c r="D57" s="515"/>
      <c r="E57" s="515"/>
      <c r="F57" s="515"/>
      <c r="G57" s="516"/>
      <c r="H57" s="8">
        <f>+B52+B47</f>
        <v>4500000</v>
      </c>
      <c r="I57" s="86"/>
    </row>
    <row r="58" spans="1:19" ht="15" thickBot="1" x14ac:dyDescent="0.4">
      <c r="A58" s="108"/>
      <c r="B58" s="517" t="s">
        <v>58</v>
      </c>
      <c r="C58" s="518"/>
      <c r="D58" s="518"/>
      <c r="E58" s="518"/>
      <c r="F58" s="518"/>
      <c r="G58" s="519"/>
      <c r="H58" s="90">
        <f>SUM(H56:H57)</f>
        <v>5333464.1095890412</v>
      </c>
      <c r="I58" s="109"/>
    </row>
    <row r="60" spans="1:19" ht="15" thickBot="1" x14ac:dyDescent="0.4"/>
    <row r="61" spans="1:19" ht="18.5" x14ac:dyDescent="0.45">
      <c r="A61" s="511" t="s">
        <v>112</v>
      </c>
      <c r="B61" s="512"/>
      <c r="C61" s="512"/>
      <c r="D61" s="512"/>
      <c r="E61" s="512"/>
      <c r="F61" s="512"/>
      <c r="G61" s="512"/>
      <c r="H61" s="512"/>
      <c r="I61" s="513"/>
      <c r="L61" s="511" t="s">
        <v>112</v>
      </c>
      <c r="M61" s="512"/>
      <c r="N61" s="512"/>
      <c r="O61" s="512"/>
      <c r="P61" s="512"/>
      <c r="Q61" s="512"/>
      <c r="R61" s="512"/>
      <c r="S61" s="513"/>
    </row>
    <row r="62" spans="1:19" x14ac:dyDescent="0.35">
      <c r="A62" s="643" t="s">
        <v>124</v>
      </c>
      <c r="B62" s="644"/>
      <c r="C62" s="644"/>
      <c r="D62" s="644"/>
      <c r="E62" s="644"/>
      <c r="F62" s="644"/>
      <c r="G62" s="644"/>
      <c r="H62" s="644"/>
      <c r="I62" s="645"/>
      <c r="L62" s="643" t="s">
        <v>124</v>
      </c>
      <c r="M62" s="644"/>
      <c r="N62" s="644"/>
      <c r="O62" s="644"/>
      <c r="P62" s="644"/>
      <c r="Q62" s="644"/>
      <c r="R62" s="644"/>
      <c r="S62" s="645"/>
    </row>
    <row r="63" spans="1:19" ht="29" x14ac:dyDescent="0.35">
      <c r="A63" s="81" t="s">
        <v>1</v>
      </c>
      <c r="B63" s="41" t="s">
        <v>7</v>
      </c>
      <c r="C63" s="41"/>
      <c r="D63" s="41" t="s">
        <v>2</v>
      </c>
      <c r="E63" s="41" t="s">
        <v>3</v>
      </c>
      <c r="F63" s="41" t="s">
        <v>4</v>
      </c>
      <c r="G63" s="41" t="s">
        <v>24</v>
      </c>
      <c r="H63" s="41" t="s">
        <v>6</v>
      </c>
      <c r="I63" s="82" t="s">
        <v>25</v>
      </c>
      <c r="L63" s="81" t="s">
        <v>1</v>
      </c>
      <c r="M63" s="41" t="s">
        <v>7</v>
      </c>
      <c r="N63" s="41" t="s">
        <v>2</v>
      </c>
      <c r="O63" s="41" t="s">
        <v>3</v>
      </c>
      <c r="P63" s="41" t="s">
        <v>4</v>
      </c>
      <c r="Q63" s="41" t="s">
        <v>24</v>
      </c>
      <c r="R63" s="41" t="s">
        <v>6</v>
      </c>
      <c r="S63" s="82" t="s">
        <v>25</v>
      </c>
    </row>
    <row r="64" spans="1:19" x14ac:dyDescent="0.35">
      <c r="A64" s="83"/>
      <c r="B64" s="12" t="s">
        <v>8</v>
      </c>
      <c r="C64" s="12"/>
      <c r="D64" s="1"/>
      <c r="E64" s="1"/>
      <c r="F64" s="1"/>
      <c r="G64" s="1"/>
      <c r="H64" s="1"/>
      <c r="I64" s="84"/>
      <c r="L64" s="83"/>
      <c r="M64" s="12" t="s">
        <v>8</v>
      </c>
      <c r="N64" s="1"/>
      <c r="O64" s="1"/>
      <c r="P64" s="1"/>
      <c r="Q64" s="1"/>
      <c r="R64" s="1"/>
      <c r="S64" s="84"/>
    </row>
    <row r="65" spans="1:19" x14ac:dyDescent="0.35">
      <c r="A65" s="85">
        <v>43784</v>
      </c>
      <c r="B65" s="1">
        <v>3000000</v>
      </c>
      <c r="C65" s="1"/>
      <c r="D65" s="2">
        <v>43784</v>
      </c>
      <c r="E65" s="2">
        <v>44150</v>
      </c>
      <c r="F65" s="59">
        <v>365</v>
      </c>
      <c r="G65" s="4">
        <v>0.18</v>
      </c>
      <c r="H65" s="5">
        <f>B65*F65*G65/365</f>
        <v>540000</v>
      </c>
      <c r="I65" s="86">
        <f>+B65+H65</f>
        <v>3540000</v>
      </c>
      <c r="L65" s="85">
        <v>43784</v>
      </c>
      <c r="M65" s="1">
        <v>3000000</v>
      </c>
      <c r="N65" s="2">
        <v>43784</v>
      </c>
      <c r="O65" s="2">
        <v>44150</v>
      </c>
      <c r="P65" s="59">
        <v>365</v>
      </c>
      <c r="Q65" s="4">
        <v>0.18</v>
      </c>
      <c r="R65" s="5">
        <f>M65*P65*Q65/365</f>
        <v>540000</v>
      </c>
      <c r="S65" s="86">
        <f>+M65+R65</f>
        <v>3540000</v>
      </c>
    </row>
    <row r="66" spans="1:19" x14ac:dyDescent="0.35">
      <c r="A66" s="87"/>
      <c r="B66" s="5"/>
      <c r="C66" s="5"/>
      <c r="D66" s="2">
        <f>+E65</f>
        <v>44150</v>
      </c>
      <c r="E66" s="2">
        <v>44377</v>
      </c>
      <c r="F66" s="58">
        <f t="shared" ref="F66" si="5">+E66-D66</f>
        <v>227</v>
      </c>
      <c r="G66" s="4">
        <v>0.18</v>
      </c>
      <c r="H66" s="5">
        <f>I65*F66*G66/365</f>
        <v>396286.0273972603</v>
      </c>
      <c r="I66" s="88">
        <f>+I65+H66</f>
        <v>3936286.0273972601</v>
      </c>
      <c r="L66" s="16"/>
      <c r="M66" s="5"/>
      <c r="N66" s="2">
        <f>+O65</f>
        <v>44150</v>
      </c>
      <c r="O66" s="2">
        <v>44242</v>
      </c>
      <c r="P66" s="58">
        <f t="shared" ref="P66" si="6">+O66-N66</f>
        <v>92</v>
      </c>
      <c r="Q66" s="4">
        <v>0.18</v>
      </c>
      <c r="R66" s="5">
        <f>S65*P66*Q66/365</f>
        <v>160609.31506849316</v>
      </c>
      <c r="S66" s="8">
        <f>+S65+R66</f>
        <v>3700609.3150684931</v>
      </c>
    </row>
    <row r="67" spans="1:19" x14ac:dyDescent="0.35">
      <c r="A67" s="105"/>
      <c r="F67" s="106"/>
      <c r="I67" s="107"/>
      <c r="L67" s="15"/>
      <c r="M67" s="1">
        <v>-2500000</v>
      </c>
      <c r="N67" s="1"/>
      <c r="O67" s="1"/>
      <c r="P67" s="56"/>
      <c r="Q67" s="1"/>
      <c r="R67" s="1"/>
      <c r="S67" s="5">
        <f>+S66+M67</f>
        <v>1200609.3150684931</v>
      </c>
    </row>
    <row r="68" spans="1:19" x14ac:dyDescent="0.35">
      <c r="A68" s="85">
        <v>44012</v>
      </c>
      <c r="B68" s="1">
        <v>1500000</v>
      </c>
      <c r="C68" s="1"/>
      <c r="D68" s="2">
        <v>44012</v>
      </c>
      <c r="E68" s="2">
        <v>44377</v>
      </c>
      <c r="F68" s="56">
        <f>+E68-D68</f>
        <v>365</v>
      </c>
      <c r="G68" s="4">
        <v>0.18</v>
      </c>
      <c r="H68" s="5">
        <f>B68*F68*G68/365</f>
        <v>270000</v>
      </c>
      <c r="I68" s="88">
        <f>+B68+H68</f>
        <v>1770000</v>
      </c>
      <c r="L68" s="15"/>
      <c r="M68" s="1"/>
      <c r="N68" s="2">
        <v>44243</v>
      </c>
      <c r="O68" s="2">
        <v>44278</v>
      </c>
      <c r="P68" s="58">
        <f t="shared" ref="P68" si="7">+O68-N68</f>
        <v>35</v>
      </c>
      <c r="Q68" s="4">
        <v>0.18</v>
      </c>
      <c r="R68" s="5">
        <f>S67*P68*Q68/365</f>
        <v>20722.845712141112</v>
      </c>
      <c r="S68" s="8">
        <f>+S67+R68</f>
        <v>1221332.1607806343</v>
      </c>
    </row>
    <row r="69" spans="1:19" x14ac:dyDescent="0.35">
      <c r="A69" s="85"/>
      <c r="B69" s="1"/>
      <c r="C69" s="1"/>
      <c r="D69" s="2"/>
      <c r="E69" s="2"/>
      <c r="F69" s="56"/>
      <c r="G69" s="4"/>
      <c r="H69" s="5"/>
      <c r="I69" s="88"/>
      <c r="L69" s="15"/>
      <c r="M69" s="1">
        <v>-1000000</v>
      </c>
      <c r="N69" s="1"/>
      <c r="O69" s="1"/>
      <c r="P69" s="56"/>
      <c r="Q69" s="1"/>
      <c r="R69" s="1"/>
      <c r="S69" s="8">
        <f>+S68+M69</f>
        <v>221332.16078063427</v>
      </c>
    </row>
    <row r="70" spans="1:19" x14ac:dyDescent="0.35">
      <c r="A70" s="87"/>
      <c r="B70" s="8">
        <f>SUM(B65:B68)</f>
        <v>4500000</v>
      </c>
      <c r="C70" s="8"/>
      <c r="D70" s="2"/>
      <c r="E70" s="2"/>
      <c r="F70" s="3"/>
      <c r="G70" s="4"/>
      <c r="H70" s="8">
        <f>SUM(H65:H69)</f>
        <v>1206286.0273972603</v>
      </c>
      <c r="I70" s="86"/>
      <c r="L70" s="15"/>
      <c r="M70" s="1"/>
      <c r="N70" s="2">
        <v>44279</v>
      </c>
      <c r="O70" s="2">
        <v>44540</v>
      </c>
      <c r="P70" s="58">
        <f t="shared" ref="P70" si="8">+O70-N70</f>
        <v>261</v>
      </c>
      <c r="Q70" s="4">
        <v>0.18</v>
      </c>
      <c r="R70" s="5">
        <f>S69*P70*Q70/365</f>
        <v>28488.177845134785</v>
      </c>
      <c r="S70" s="8">
        <f>+S69+R70</f>
        <v>249820.33862576904</v>
      </c>
    </row>
    <row r="71" spans="1:19" ht="15" thickBot="1" x14ac:dyDescent="0.4">
      <c r="A71" s="116"/>
      <c r="B71" s="111"/>
      <c r="C71" s="111"/>
      <c r="D71" s="111"/>
      <c r="E71" s="111"/>
      <c r="F71" s="111"/>
      <c r="G71" s="111"/>
      <c r="H71" s="117"/>
      <c r="I71" s="118"/>
      <c r="L71" s="15"/>
      <c r="M71" s="1"/>
      <c r="N71" s="1"/>
      <c r="O71" s="1"/>
      <c r="P71" s="56"/>
      <c r="Q71" s="1"/>
      <c r="R71" s="1"/>
      <c r="S71" s="1"/>
    </row>
    <row r="72" spans="1:19" x14ac:dyDescent="0.35">
      <c r="A72" s="563" t="s">
        <v>123</v>
      </c>
      <c r="B72" s="563"/>
      <c r="C72" s="563"/>
      <c r="D72" s="563"/>
      <c r="E72" s="563"/>
      <c r="F72" s="563"/>
      <c r="G72" s="563"/>
      <c r="H72" s="563"/>
      <c r="I72" s="563"/>
      <c r="L72" s="15"/>
      <c r="M72" s="1"/>
      <c r="N72" s="1"/>
      <c r="O72" s="1"/>
      <c r="P72" s="56"/>
      <c r="Q72" s="1"/>
      <c r="R72" s="1"/>
      <c r="S72" s="1"/>
    </row>
    <row r="73" spans="1:19" x14ac:dyDescent="0.35">
      <c r="A73" s="81" t="s">
        <v>1</v>
      </c>
      <c r="B73" s="41" t="s">
        <v>7</v>
      </c>
      <c r="C73" s="41"/>
      <c r="D73" s="41" t="s">
        <v>2</v>
      </c>
      <c r="E73" s="41" t="s">
        <v>3</v>
      </c>
      <c r="F73" s="41" t="s">
        <v>4</v>
      </c>
      <c r="G73" s="41" t="s">
        <v>24</v>
      </c>
      <c r="H73" s="41" t="s">
        <v>6</v>
      </c>
      <c r="I73" s="82" t="s">
        <v>25</v>
      </c>
      <c r="L73" s="15"/>
      <c r="M73" s="1"/>
      <c r="N73" s="1"/>
      <c r="O73" s="1"/>
      <c r="P73" s="56"/>
      <c r="Q73" s="1"/>
      <c r="R73" s="1"/>
      <c r="S73" s="1"/>
    </row>
    <row r="74" spans="1:19" x14ac:dyDescent="0.35">
      <c r="A74" s="83"/>
      <c r="B74" s="12" t="s">
        <v>8</v>
      </c>
      <c r="C74" s="12"/>
      <c r="D74" s="1"/>
      <c r="E74" s="1"/>
      <c r="F74" s="1"/>
      <c r="G74" s="1"/>
      <c r="H74" s="1"/>
      <c r="I74" s="84"/>
      <c r="L74" s="15"/>
      <c r="M74" s="1"/>
      <c r="N74" s="1"/>
      <c r="O74" s="1"/>
      <c r="P74" s="56"/>
      <c r="Q74" s="1"/>
      <c r="R74" s="1"/>
      <c r="S74" s="1"/>
    </row>
    <row r="75" spans="1:19" x14ac:dyDescent="0.35">
      <c r="A75" s="85">
        <v>44239</v>
      </c>
      <c r="B75" s="1">
        <v>1650000</v>
      </c>
      <c r="C75" s="1"/>
      <c r="D75" s="2">
        <v>44239</v>
      </c>
      <c r="E75" s="2">
        <v>44377</v>
      </c>
      <c r="F75" s="59">
        <f>E75-D75</f>
        <v>138</v>
      </c>
      <c r="G75" s="4">
        <v>0.18</v>
      </c>
      <c r="H75" s="5">
        <f>B75*F75*G75/365</f>
        <v>112290.4109589041</v>
      </c>
      <c r="I75" s="86">
        <f>+B75+H75</f>
        <v>1762290.4109589041</v>
      </c>
      <c r="L75" s="85">
        <v>44012</v>
      </c>
      <c r="M75" s="1">
        <v>1500000</v>
      </c>
      <c r="N75" s="2">
        <v>44012</v>
      </c>
      <c r="O75" s="2">
        <v>44377</v>
      </c>
      <c r="P75" s="56">
        <f>+O75-N75</f>
        <v>365</v>
      </c>
      <c r="Q75" s="4">
        <v>0.18</v>
      </c>
      <c r="R75" s="5">
        <f>M75*P75*Q75/365</f>
        <v>270000</v>
      </c>
      <c r="S75" s="88">
        <f>+M75+R75</f>
        <v>1770000</v>
      </c>
    </row>
    <row r="76" spans="1:19" x14ac:dyDescent="0.35">
      <c r="A76" s="85">
        <v>44242</v>
      </c>
      <c r="B76" s="5">
        <v>850000</v>
      </c>
      <c r="C76" s="5"/>
      <c r="D76" s="2">
        <f>+A76</f>
        <v>44242</v>
      </c>
      <c r="E76" s="2">
        <v>44377</v>
      </c>
      <c r="F76" s="58">
        <f t="shared" ref="F76:F77" si="9">+E76-D76</f>
        <v>135</v>
      </c>
      <c r="G76" s="4">
        <v>0.18</v>
      </c>
      <c r="H76" s="5">
        <f>I75*F76*G76/365</f>
        <v>117325.08763370238</v>
      </c>
      <c r="I76" s="88">
        <f>+I75+H76</f>
        <v>1879615.4985926065</v>
      </c>
      <c r="L76" s="85"/>
      <c r="M76" s="1"/>
      <c r="N76" s="2"/>
      <c r="O76" s="2"/>
      <c r="P76" s="56"/>
      <c r="Q76" s="4"/>
      <c r="R76" s="5"/>
      <c r="S76" s="88"/>
    </row>
    <row r="77" spans="1:19" x14ac:dyDescent="0.35">
      <c r="A77" s="85">
        <v>44278</v>
      </c>
      <c r="B77" s="5">
        <v>1000000</v>
      </c>
      <c r="C77" s="5"/>
      <c r="D77" s="2">
        <v>44278</v>
      </c>
      <c r="E77" s="2">
        <v>44377</v>
      </c>
      <c r="F77" s="58">
        <f t="shared" si="9"/>
        <v>99</v>
      </c>
      <c r="G77" s="4">
        <v>0.18</v>
      </c>
      <c r="H77" s="5">
        <f>I76*F77*G77/365</f>
        <v>91766.43338334313</v>
      </c>
      <c r="I77" s="88">
        <f>+I76+H77</f>
        <v>1971381.9319759496</v>
      </c>
      <c r="L77" s="87"/>
      <c r="M77" s="8">
        <f>SUM(M65:M75)</f>
        <v>1000000</v>
      </c>
      <c r="N77" s="2"/>
      <c r="O77" s="2"/>
      <c r="P77" s="3"/>
      <c r="Q77" s="4"/>
      <c r="R77" s="8">
        <f>SUM(R65:R76)</f>
        <v>1019820.338625769</v>
      </c>
      <c r="S77" s="86"/>
    </row>
    <row r="78" spans="1:19" ht="15" thickBot="1" x14ac:dyDescent="0.4">
      <c r="A78" s="87"/>
      <c r="B78" s="5"/>
      <c r="C78" s="5"/>
      <c r="D78" s="2"/>
      <c r="E78" s="2"/>
      <c r="F78" s="56"/>
      <c r="G78" s="4"/>
      <c r="H78" s="8">
        <f>+SUM(H75:H77)</f>
        <v>321381.93197594961</v>
      </c>
      <c r="I78" s="86"/>
      <c r="L78" s="116"/>
      <c r="M78" s="111"/>
      <c r="N78" s="111"/>
      <c r="O78" s="111"/>
      <c r="P78" s="111"/>
      <c r="Q78" s="111"/>
      <c r="R78" s="117"/>
      <c r="S78" s="118"/>
    </row>
    <row r="79" spans="1:19" x14ac:dyDescent="0.35">
      <c r="A79" s="87"/>
      <c r="B79" s="8">
        <f>SUM(B75:B78)</f>
        <v>3500000</v>
      </c>
      <c r="C79" s="8"/>
      <c r="D79" s="2"/>
      <c r="E79" s="2"/>
      <c r="F79" s="3"/>
      <c r="G79" s="4"/>
      <c r="H79" s="8"/>
      <c r="I79" s="86"/>
      <c r="L79" s="563" t="s">
        <v>123</v>
      </c>
      <c r="M79" s="563"/>
      <c r="N79" s="563"/>
      <c r="O79" s="563"/>
      <c r="P79" s="563"/>
      <c r="Q79" s="563"/>
      <c r="R79" s="563"/>
      <c r="S79" s="563"/>
    </row>
    <row r="80" spans="1:19" ht="29" x14ac:dyDescent="0.35">
      <c r="A80" s="85"/>
      <c r="B80" s="514" t="s">
        <v>42</v>
      </c>
      <c r="C80" s="515"/>
      <c r="D80" s="515"/>
      <c r="E80" s="515"/>
      <c r="F80" s="515"/>
      <c r="G80" s="516"/>
      <c r="H80" s="8">
        <f>+H70-H78</f>
        <v>884904.09542131075</v>
      </c>
      <c r="I80" s="86"/>
      <c r="L80" s="81" t="s">
        <v>1</v>
      </c>
      <c r="M80" s="41" t="s">
        <v>7</v>
      </c>
      <c r="N80" s="41" t="s">
        <v>2</v>
      </c>
      <c r="O80" s="41" t="s">
        <v>3</v>
      </c>
      <c r="P80" s="41" t="s">
        <v>4</v>
      </c>
      <c r="Q80" s="41" t="s">
        <v>24</v>
      </c>
      <c r="R80" s="41" t="s">
        <v>6</v>
      </c>
      <c r="S80" s="82" t="s">
        <v>25</v>
      </c>
    </row>
    <row r="81" spans="1:19" x14ac:dyDescent="0.35">
      <c r="A81" s="85"/>
      <c r="B81" s="514" t="s">
        <v>43</v>
      </c>
      <c r="C81" s="515"/>
      <c r="D81" s="515"/>
      <c r="E81" s="515"/>
      <c r="F81" s="515"/>
      <c r="G81" s="516"/>
      <c r="H81" s="8">
        <v>1000000</v>
      </c>
      <c r="I81" s="86"/>
      <c r="L81" s="83"/>
      <c r="M81" s="12" t="s">
        <v>8</v>
      </c>
      <c r="N81" s="1"/>
      <c r="O81" s="1"/>
      <c r="P81" s="1"/>
      <c r="Q81" s="1"/>
      <c r="R81" s="1"/>
      <c r="S81" s="84"/>
    </row>
    <row r="82" spans="1:19" ht="15" thickBot="1" x14ac:dyDescent="0.4">
      <c r="A82" s="108"/>
      <c r="B82" s="517" t="s">
        <v>58</v>
      </c>
      <c r="C82" s="518"/>
      <c r="D82" s="518"/>
      <c r="E82" s="518"/>
      <c r="F82" s="518"/>
      <c r="G82" s="519"/>
      <c r="H82" s="90">
        <f>SUM(H80:H81)</f>
        <v>1884904.0954213107</v>
      </c>
      <c r="I82" s="109"/>
      <c r="L82" s="85">
        <v>44239</v>
      </c>
      <c r="M82" s="1">
        <v>1650000</v>
      </c>
      <c r="N82" s="2">
        <v>44239</v>
      </c>
      <c r="O82" s="2"/>
      <c r="P82" s="59"/>
      <c r="Q82" s="4"/>
      <c r="R82" s="5"/>
      <c r="S82" s="86"/>
    </row>
    <row r="83" spans="1:19" x14ac:dyDescent="0.35">
      <c r="L83" s="85">
        <v>44242</v>
      </c>
      <c r="M83" s="5">
        <v>850000</v>
      </c>
      <c r="N83" s="2">
        <f>+L83</f>
        <v>44242</v>
      </c>
      <c r="O83" s="2">
        <v>44377</v>
      </c>
      <c r="P83" s="58">
        <f t="shared" ref="P83:P84" si="10">+O83-N83</f>
        <v>135</v>
      </c>
      <c r="Q83" s="4">
        <v>0.18</v>
      </c>
      <c r="R83" s="5">
        <f>S82*P83*Q83/365</f>
        <v>0</v>
      </c>
      <c r="S83" s="88">
        <f>+S82+R83</f>
        <v>0</v>
      </c>
    </row>
    <row r="84" spans="1:19" x14ac:dyDescent="0.35">
      <c r="L84" s="85">
        <v>44278</v>
      </c>
      <c r="M84" s="5">
        <v>1000000</v>
      </c>
      <c r="N84" s="2">
        <v>44278</v>
      </c>
      <c r="O84" s="2">
        <v>44377</v>
      </c>
      <c r="P84" s="58">
        <f t="shared" si="10"/>
        <v>99</v>
      </c>
      <c r="Q84" s="4">
        <v>0.18</v>
      </c>
      <c r="R84" s="5">
        <f>S83*P84*Q84/365</f>
        <v>0</v>
      </c>
      <c r="S84" s="88">
        <f>+S83+R84</f>
        <v>0</v>
      </c>
    </row>
    <row r="85" spans="1:19" x14ac:dyDescent="0.35">
      <c r="L85" s="87"/>
      <c r="M85" s="5"/>
      <c r="N85" s="2"/>
      <c r="O85" s="2"/>
      <c r="P85" s="56"/>
      <c r="Q85" s="4"/>
      <c r="R85" s="8">
        <f>+SUM(R82:R84)</f>
        <v>0</v>
      </c>
      <c r="S85" s="86"/>
    </row>
    <row r="86" spans="1:19" x14ac:dyDescent="0.35">
      <c r="A86" s="37">
        <v>43784</v>
      </c>
      <c r="B86">
        <v>3000000</v>
      </c>
      <c r="D86" s="46">
        <v>44012</v>
      </c>
      <c r="E86">
        <f t="shared" ref="E86:E91" si="11">D86-A86</f>
        <v>228</v>
      </c>
      <c r="F86" s="14">
        <f>B86*0.18*E86/365</f>
        <v>337315.0684931507</v>
      </c>
      <c r="L86" s="87"/>
      <c r="M86" s="8">
        <f>SUM(M82:M85)</f>
        <v>3500000</v>
      </c>
      <c r="N86" s="2"/>
      <c r="O86" s="2"/>
      <c r="P86" s="3"/>
      <c r="Q86" s="4"/>
      <c r="R86" s="8"/>
      <c r="S86" s="86"/>
    </row>
    <row r="87" spans="1:19" x14ac:dyDescent="0.35">
      <c r="A87" s="37">
        <v>44012</v>
      </c>
      <c r="B87">
        <f>B86+1500000</f>
        <v>4500000</v>
      </c>
      <c r="D87" s="46">
        <v>44149</v>
      </c>
      <c r="E87">
        <f t="shared" si="11"/>
        <v>137</v>
      </c>
      <c r="F87" s="14">
        <f t="shared" ref="F87:F91" si="12">B87*0.18*E87/365</f>
        <v>304027.39726027398</v>
      </c>
      <c r="L87" s="85"/>
      <c r="M87" s="514" t="s">
        <v>42</v>
      </c>
      <c r="N87" s="515"/>
      <c r="O87" s="515"/>
      <c r="P87" s="515"/>
      <c r="Q87" s="516"/>
      <c r="R87" s="8">
        <f>+R77-R85</f>
        <v>1019820.338625769</v>
      </c>
      <c r="S87" s="86"/>
    </row>
    <row r="88" spans="1:19" x14ac:dyDescent="0.35">
      <c r="A88" s="37">
        <f>+D87</f>
        <v>44149</v>
      </c>
      <c r="B88">
        <f>B87+540000</f>
        <v>5040000</v>
      </c>
      <c r="D88" s="46">
        <v>44239</v>
      </c>
      <c r="E88">
        <f t="shared" si="11"/>
        <v>90</v>
      </c>
      <c r="F88" s="14">
        <f>B88*0.18*E88/365</f>
        <v>223693.15068493152</v>
      </c>
      <c r="L88" s="85"/>
      <c r="M88" s="514" t="s">
        <v>43</v>
      </c>
      <c r="N88" s="515"/>
      <c r="O88" s="515"/>
      <c r="P88" s="515"/>
      <c r="Q88" s="516"/>
      <c r="R88" s="8">
        <v>1000000</v>
      </c>
      <c r="S88" s="86"/>
    </row>
    <row r="89" spans="1:19" ht="15" thickBot="1" x14ac:dyDescent="0.4">
      <c r="A89" s="37">
        <f>+D88</f>
        <v>44239</v>
      </c>
      <c r="B89">
        <f>B88-1650000</f>
        <v>3390000</v>
      </c>
      <c r="D89" s="46">
        <v>44242</v>
      </c>
      <c r="E89">
        <f t="shared" si="11"/>
        <v>3</v>
      </c>
      <c r="F89" s="14">
        <f t="shared" si="12"/>
        <v>5015.3424657534242</v>
      </c>
      <c r="L89" s="108"/>
      <c r="M89" s="517" t="s">
        <v>58</v>
      </c>
      <c r="N89" s="518"/>
      <c r="O89" s="518"/>
      <c r="P89" s="518"/>
      <c r="Q89" s="519"/>
      <c r="R89" s="90">
        <f>SUM(R87:R88)</f>
        <v>2019820.3386257691</v>
      </c>
      <c r="S89" s="109"/>
    </row>
    <row r="90" spans="1:19" x14ac:dyDescent="0.35">
      <c r="A90" s="37">
        <f>+D89</f>
        <v>44242</v>
      </c>
      <c r="B90">
        <f>B89-850000</f>
        <v>2540000</v>
      </c>
      <c r="D90" s="46">
        <v>44278</v>
      </c>
      <c r="E90">
        <f t="shared" si="11"/>
        <v>36</v>
      </c>
      <c r="F90" s="14">
        <f t="shared" si="12"/>
        <v>45093.698630136983</v>
      </c>
    </row>
    <row r="91" spans="1:19" x14ac:dyDescent="0.35">
      <c r="A91" s="37">
        <f>+D90</f>
        <v>44278</v>
      </c>
      <c r="B91">
        <f>B90-1000000</f>
        <v>1540000</v>
      </c>
      <c r="D91" s="46">
        <f>+E77</f>
        <v>44377</v>
      </c>
      <c r="E91">
        <f t="shared" si="11"/>
        <v>99</v>
      </c>
      <c r="F91" s="14">
        <f t="shared" si="12"/>
        <v>75185.753424657538</v>
      </c>
    </row>
    <row r="92" spans="1:19" x14ac:dyDescent="0.35">
      <c r="F92" s="14">
        <f>SUM(F86:F91)</f>
        <v>990330.41095890419</v>
      </c>
      <c r="I92" s="14">
        <f>F92-H80</f>
        <v>105426.31553759344</v>
      </c>
      <c r="J92" t="s">
        <v>223</v>
      </c>
    </row>
    <row r="93" spans="1:19" x14ac:dyDescent="0.35">
      <c r="F93">
        <v>540000</v>
      </c>
    </row>
    <row r="94" spans="1:19" x14ac:dyDescent="0.35">
      <c r="F94" s="14">
        <f>B91+F92-F93</f>
        <v>1990330.4109589043</v>
      </c>
    </row>
    <row r="98" spans="1:19" ht="15" thickBot="1" x14ac:dyDescent="0.4">
      <c r="A98" s="548" t="s">
        <v>162</v>
      </c>
      <c r="B98" s="548"/>
      <c r="C98" s="548"/>
      <c r="D98" s="548"/>
      <c r="E98" s="548"/>
    </row>
    <row r="99" spans="1:19" ht="15" thickBot="1" x14ac:dyDescent="0.4">
      <c r="A99" s="613" t="s">
        <v>161</v>
      </c>
      <c r="B99" s="586"/>
      <c r="C99" s="586"/>
      <c r="D99" s="586"/>
      <c r="E99" s="646"/>
    </row>
    <row r="100" spans="1:19" ht="15" thickBot="1" x14ac:dyDescent="0.4">
      <c r="A100" s="168" t="s">
        <v>1</v>
      </c>
      <c r="B100" s="169" t="s">
        <v>8</v>
      </c>
      <c r="C100" s="368"/>
      <c r="D100" s="170" t="s">
        <v>159</v>
      </c>
      <c r="E100" s="170" t="s">
        <v>156</v>
      </c>
    </row>
    <row r="101" spans="1:19" x14ac:dyDescent="0.35">
      <c r="A101" s="145">
        <v>43784</v>
      </c>
      <c r="B101" s="167">
        <v>760000</v>
      </c>
      <c r="C101" s="369"/>
      <c r="D101" s="130" t="s">
        <v>169</v>
      </c>
      <c r="E101" s="130" t="s">
        <v>157</v>
      </c>
    </row>
    <row r="102" spans="1:19" x14ac:dyDescent="0.35">
      <c r="A102" s="85">
        <v>43784</v>
      </c>
      <c r="B102" s="1">
        <v>1200000</v>
      </c>
      <c r="C102" s="370"/>
      <c r="D102" s="84" t="s">
        <v>171</v>
      </c>
      <c r="E102" s="84" t="s">
        <v>157</v>
      </c>
    </row>
    <row r="103" spans="1:19" x14ac:dyDescent="0.35">
      <c r="A103" s="85">
        <v>43784</v>
      </c>
      <c r="B103" s="1">
        <v>800000</v>
      </c>
      <c r="C103" s="370"/>
      <c r="D103" s="84" t="s">
        <v>171</v>
      </c>
      <c r="E103" s="84" t="s">
        <v>157</v>
      </c>
    </row>
    <row r="104" spans="1:19" x14ac:dyDescent="0.35">
      <c r="A104" s="85">
        <v>43790</v>
      </c>
      <c r="B104" s="1">
        <v>90000</v>
      </c>
      <c r="C104" s="370"/>
      <c r="D104" s="84" t="s">
        <v>170</v>
      </c>
      <c r="E104" s="84" t="s">
        <v>157</v>
      </c>
    </row>
    <row r="105" spans="1:19" x14ac:dyDescent="0.35">
      <c r="A105" s="85">
        <v>43792</v>
      </c>
      <c r="B105" s="1">
        <v>150000</v>
      </c>
      <c r="C105" s="370"/>
      <c r="D105" s="84" t="s">
        <v>166</v>
      </c>
      <c r="E105" s="84" t="s">
        <v>158</v>
      </c>
    </row>
    <row r="106" spans="1:19" x14ac:dyDescent="0.35">
      <c r="A106" s="85">
        <v>44010</v>
      </c>
      <c r="B106" s="1">
        <v>500000</v>
      </c>
      <c r="C106" s="370"/>
      <c r="D106" s="84" t="s">
        <v>166</v>
      </c>
      <c r="E106" s="84" t="s">
        <v>158</v>
      </c>
    </row>
    <row r="107" spans="1:19" x14ac:dyDescent="0.35">
      <c r="A107" s="85">
        <v>44012</v>
      </c>
      <c r="B107" s="1">
        <v>1000000</v>
      </c>
      <c r="C107" s="370"/>
      <c r="D107" s="84" t="s">
        <v>170</v>
      </c>
      <c r="E107" s="84" t="s">
        <v>157</v>
      </c>
    </row>
    <row r="108" spans="1:19" x14ac:dyDescent="0.35">
      <c r="A108" s="119">
        <v>44446</v>
      </c>
      <c r="B108" s="174">
        <v>2000000</v>
      </c>
      <c r="C108" s="371"/>
      <c r="D108" s="84" t="s">
        <v>166</v>
      </c>
      <c r="E108" s="84" t="s">
        <v>158</v>
      </c>
    </row>
    <row r="109" spans="1:19" ht="15" thickBot="1" x14ac:dyDescent="0.4">
      <c r="A109" s="179"/>
      <c r="B109" s="174"/>
      <c r="C109" s="371"/>
      <c r="D109" s="129"/>
      <c r="E109" s="129"/>
    </row>
    <row r="110" spans="1:19" s="9" customFormat="1" ht="15" thickBot="1" x14ac:dyDescent="0.4">
      <c r="A110" s="186" t="s">
        <v>164</v>
      </c>
      <c r="B110" s="187">
        <f>SUM(B101:B109)</f>
        <v>6500000</v>
      </c>
      <c r="C110" s="372"/>
      <c r="D110" s="188"/>
      <c r="E110" s="188"/>
      <c r="L110"/>
      <c r="M110"/>
      <c r="N110"/>
      <c r="O110"/>
      <c r="P110"/>
      <c r="Q110"/>
      <c r="R110"/>
      <c r="S110"/>
    </row>
    <row r="111" spans="1:19" ht="15" thickBot="1" x14ac:dyDescent="0.4">
      <c r="A111" s="105"/>
      <c r="E111" s="107"/>
    </row>
    <row r="112" spans="1:19" ht="15" thickBot="1" x14ac:dyDescent="0.4">
      <c r="A112" s="647" t="s">
        <v>163</v>
      </c>
      <c r="B112" s="648"/>
      <c r="C112" s="648"/>
      <c r="D112" s="648"/>
      <c r="E112" s="649"/>
    </row>
    <row r="113" spans="1:19" x14ac:dyDescent="0.35">
      <c r="A113" s="176">
        <v>44239</v>
      </c>
      <c r="B113" s="177">
        <v>1650000</v>
      </c>
      <c r="C113" s="177"/>
      <c r="D113" s="177" t="s">
        <v>167</v>
      </c>
      <c r="E113" s="178" t="s">
        <v>158</v>
      </c>
    </row>
    <row r="114" spans="1:19" x14ac:dyDescent="0.35">
      <c r="A114" s="85">
        <v>44242</v>
      </c>
      <c r="B114" s="1">
        <v>760000</v>
      </c>
      <c r="C114" s="1"/>
      <c r="D114" s="1" t="s">
        <v>169</v>
      </c>
      <c r="E114" s="84" t="s">
        <v>157</v>
      </c>
    </row>
    <row r="115" spans="1:19" x14ac:dyDescent="0.35">
      <c r="A115" s="85">
        <v>44242</v>
      </c>
      <c r="B115" s="1">
        <v>90000</v>
      </c>
      <c r="C115" s="1"/>
      <c r="D115" s="1" t="s">
        <v>170</v>
      </c>
      <c r="E115" s="84" t="s">
        <v>157</v>
      </c>
    </row>
    <row r="116" spans="1:19" x14ac:dyDescent="0.35">
      <c r="A116" s="85">
        <v>44278</v>
      </c>
      <c r="B116" s="1">
        <v>1000000</v>
      </c>
      <c r="C116" s="1"/>
      <c r="D116" s="1" t="s">
        <v>167</v>
      </c>
      <c r="E116" s="84" t="s">
        <v>158</v>
      </c>
    </row>
    <row r="117" spans="1:19" x14ac:dyDescent="0.35">
      <c r="A117" s="83"/>
      <c r="B117" s="1"/>
      <c r="C117" s="1"/>
      <c r="D117" s="1"/>
      <c r="E117" s="84"/>
      <c r="L117" s="9"/>
      <c r="M117" s="9"/>
      <c r="N117" s="9"/>
      <c r="O117" s="9"/>
      <c r="P117" s="9"/>
      <c r="Q117" s="9"/>
      <c r="R117" s="9"/>
      <c r="S117" s="9"/>
    </row>
    <row r="118" spans="1:19" ht="15" thickBot="1" x14ac:dyDescent="0.4">
      <c r="A118" s="108"/>
      <c r="B118" s="173"/>
      <c r="C118" s="173"/>
      <c r="D118" s="173"/>
      <c r="E118" s="109"/>
    </row>
    <row r="119" spans="1:19" ht="15" thickBot="1" x14ac:dyDescent="0.4">
      <c r="A119" s="183" t="s">
        <v>89</v>
      </c>
      <c r="B119" s="184">
        <f>SUM(B113:B118)</f>
        <v>3500000</v>
      </c>
      <c r="C119" s="184"/>
      <c r="D119" s="184"/>
      <c r="E119" s="185"/>
    </row>
    <row r="120" spans="1:19" ht="15" thickBot="1" x14ac:dyDescent="0.4">
      <c r="A120" s="123"/>
      <c r="B120" s="175"/>
      <c r="C120" s="175"/>
      <c r="D120" s="175"/>
      <c r="E120" s="124"/>
    </row>
    <row r="121" spans="1:19" ht="15" thickBot="1" x14ac:dyDescent="0.4">
      <c r="A121" s="180" t="s">
        <v>14</v>
      </c>
      <c r="B121" s="181">
        <f>+B110-B119</f>
        <v>3000000</v>
      </c>
      <c r="C121" s="181"/>
      <c r="D121" s="181"/>
      <c r="E121" s="182"/>
    </row>
    <row r="122" spans="1:19" x14ac:dyDescent="0.35">
      <c r="A122" s="10"/>
      <c r="B122" s="9"/>
      <c r="C122" s="9"/>
      <c r="D122" s="9"/>
      <c r="E122" s="9"/>
    </row>
    <row r="123" spans="1:19" x14ac:dyDescent="0.35">
      <c r="A123" s="10"/>
      <c r="B123" s="9"/>
      <c r="C123" s="9"/>
      <c r="D123" s="9"/>
      <c r="E123" s="9"/>
    </row>
    <row r="124" spans="1:19" ht="15" thickBot="1" x14ac:dyDescent="0.4"/>
    <row r="125" spans="1:19" ht="15" thickBot="1" x14ac:dyDescent="0.4">
      <c r="A125" s="650" t="s">
        <v>161</v>
      </c>
      <c r="B125" s="651"/>
      <c r="C125" s="651"/>
      <c r="D125" s="651"/>
      <c r="E125" s="652"/>
    </row>
    <row r="126" spans="1:19" ht="15" thickBot="1" x14ac:dyDescent="0.4">
      <c r="A126" s="189" t="s">
        <v>1</v>
      </c>
      <c r="B126" s="190" t="s">
        <v>8</v>
      </c>
      <c r="C126" s="373"/>
      <c r="D126" s="191" t="s">
        <v>159</v>
      </c>
      <c r="E126" s="191" t="s">
        <v>156</v>
      </c>
    </row>
    <row r="127" spans="1:19" x14ac:dyDescent="0.35">
      <c r="A127" s="192">
        <v>44125</v>
      </c>
      <c r="B127" s="193">
        <v>700000</v>
      </c>
      <c r="C127" s="374"/>
      <c r="D127" s="194" t="s">
        <v>160</v>
      </c>
      <c r="E127" s="194" t="s">
        <v>157</v>
      </c>
    </row>
    <row r="128" spans="1:19" x14ac:dyDescent="0.35">
      <c r="A128" s="192">
        <v>44127</v>
      </c>
      <c r="B128" s="193">
        <v>700000</v>
      </c>
      <c r="C128" s="374"/>
      <c r="D128" s="194" t="s">
        <v>166</v>
      </c>
      <c r="E128" s="194" t="s">
        <v>158</v>
      </c>
    </row>
    <row r="129" spans="1:9" ht="15" thickBot="1" x14ac:dyDescent="0.4">
      <c r="A129" s="195"/>
      <c r="B129" s="196"/>
      <c r="C129" s="375"/>
      <c r="D129" s="197"/>
      <c r="E129" s="197"/>
    </row>
    <row r="130" spans="1:9" ht="15" thickBot="1" x14ac:dyDescent="0.4">
      <c r="A130" s="198" t="s">
        <v>164</v>
      </c>
      <c r="B130" s="187">
        <f>SUM(B127:B129)</f>
        <v>1400000</v>
      </c>
      <c r="C130" s="372"/>
      <c r="D130" s="188"/>
      <c r="E130" s="188"/>
    </row>
    <row r="131" spans="1:9" x14ac:dyDescent="0.35">
      <c r="A131" s="199"/>
      <c r="B131" s="200"/>
      <c r="C131" s="376"/>
      <c r="D131" s="201"/>
      <c r="E131" s="201"/>
    </row>
    <row r="132" spans="1:9" x14ac:dyDescent="0.35">
      <c r="A132" s="195">
        <v>44183</v>
      </c>
      <c r="B132" s="196">
        <v>700000</v>
      </c>
      <c r="C132" s="375"/>
      <c r="D132" s="197" t="s">
        <v>165</v>
      </c>
      <c r="E132" s="197" t="s">
        <v>168</v>
      </c>
    </row>
    <row r="133" spans="1:9" x14ac:dyDescent="0.35">
      <c r="A133" s="195">
        <v>44204</v>
      </c>
      <c r="B133" s="196">
        <v>700000</v>
      </c>
      <c r="C133" s="375"/>
      <c r="D133" s="197" t="s">
        <v>167</v>
      </c>
      <c r="E133" s="197" t="s">
        <v>168</v>
      </c>
    </row>
    <row r="134" spans="1:9" ht="15" thickBot="1" x14ac:dyDescent="0.4">
      <c r="A134" s="195"/>
      <c r="B134" s="196"/>
      <c r="C134" s="375"/>
      <c r="D134" s="197"/>
      <c r="E134" s="197"/>
    </row>
    <row r="135" spans="1:9" ht="15" thickBot="1" x14ac:dyDescent="0.4">
      <c r="A135" s="198" t="s">
        <v>89</v>
      </c>
      <c r="B135" s="187">
        <f>SUM(B132:B134)</f>
        <v>1400000</v>
      </c>
      <c r="C135" s="372"/>
      <c r="D135" s="188"/>
      <c r="E135" s="188"/>
    </row>
    <row r="136" spans="1:9" ht="15" thickBot="1" x14ac:dyDescent="0.4">
      <c r="A136" s="202"/>
      <c r="B136" s="200"/>
      <c r="C136" s="376"/>
      <c r="D136" s="201"/>
      <c r="E136" s="201"/>
    </row>
    <row r="137" spans="1:9" ht="15" thickBot="1" x14ac:dyDescent="0.4">
      <c r="A137" s="203"/>
      <c r="B137" s="187">
        <f>+B130-B135</f>
        <v>0</v>
      </c>
      <c r="C137" s="372"/>
      <c r="D137" s="204"/>
      <c r="E137" s="204"/>
    </row>
    <row r="143" spans="1:9" ht="19" thickBot="1" x14ac:dyDescent="0.5">
      <c r="A143" s="653" t="s">
        <v>224</v>
      </c>
      <c r="B143" s="653"/>
      <c r="C143" s="653"/>
      <c r="D143" s="653"/>
      <c r="E143" s="653"/>
      <c r="F143" s="653"/>
      <c r="G143" s="653"/>
      <c r="H143" s="653"/>
      <c r="I143" s="653"/>
    </row>
    <row r="144" spans="1:9" ht="19" thickBot="1" x14ac:dyDescent="0.5">
      <c r="A144" s="511" t="s">
        <v>112</v>
      </c>
      <c r="B144" s="512"/>
      <c r="C144" s="512"/>
      <c r="D144" s="512"/>
      <c r="E144" s="512"/>
      <c r="F144" s="512"/>
      <c r="G144" s="512"/>
      <c r="H144" s="512"/>
      <c r="I144" s="513"/>
    </row>
    <row r="145" spans="1:12" ht="15" thickBot="1" x14ac:dyDescent="0.4">
      <c r="A145" s="654" t="s">
        <v>124</v>
      </c>
      <c r="B145" s="655"/>
      <c r="C145" s="655"/>
      <c r="D145" s="655"/>
      <c r="E145" s="655"/>
      <c r="F145" s="655"/>
      <c r="G145" s="655"/>
      <c r="H145" s="655"/>
      <c r="I145" s="656"/>
    </row>
    <row r="146" spans="1:12" s="6" customFormat="1" x14ac:dyDescent="0.35">
      <c r="A146" s="216" t="s">
        <v>1</v>
      </c>
      <c r="B146" s="217" t="s">
        <v>7</v>
      </c>
      <c r="C146" s="217"/>
      <c r="D146" s="217" t="s">
        <v>2</v>
      </c>
      <c r="E146" s="217" t="s">
        <v>3</v>
      </c>
      <c r="F146" s="217" t="s">
        <v>4</v>
      </c>
      <c r="G146" s="217" t="s">
        <v>24</v>
      </c>
      <c r="H146" s="217" t="s">
        <v>6</v>
      </c>
      <c r="I146" s="218" t="s">
        <v>25</v>
      </c>
    </row>
    <row r="147" spans="1:12" s="6" customFormat="1" x14ac:dyDescent="0.35">
      <c r="A147" s="83"/>
      <c r="B147" s="12" t="s">
        <v>8</v>
      </c>
      <c r="C147" s="12"/>
      <c r="D147" s="15"/>
      <c r="E147" s="15"/>
      <c r="F147" s="15"/>
      <c r="G147" s="15"/>
      <c r="H147" s="15"/>
      <c r="I147" s="224"/>
    </row>
    <row r="148" spans="1:12" s="6" customFormat="1" x14ac:dyDescent="0.35">
      <c r="A148" s="85">
        <v>43784</v>
      </c>
      <c r="B148" s="15">
        <v>3000000</v>
      </c>
      <c r="C148" s="15"/>
      <c r="D148" s="17">
        <v>43784</v>
      </c>
      <c r="E148" s="17">
        <v>44150</v>
      </c>
      <c r="F148" s="56">
        <v>365</v>
      </c>
      <c r="G148" s="221">
        <v>0.18</v>
      </c>
      <c r="H148" s="54">
        <f>B148*F148*G148/365</f>
        <v>540000</v>
      </c>
      <c r="I148" s="222">
        <f>+B148+H148</f>
        <v>3540000</v>
      </c>
    </row>
    <row r="149" spans="1:12" s="6" customFormat="1" x14ac:dyDescent="0.35">
      <c r="A149" s="87"/>
      <c r="B149" s="54"/>
      <c r="C149" s="54"/>
      <c r="D149" s="17">
        <f>+E148</f>
        <v>44150</v>
      </c>
      <c r="E149" s="17">
        <v>44515</v>
      </c>
      <c r="F149" s="56">
        <f t="shared" ref="F149" si="13">+E149-D149</f>
        <v>365</v>
      </c>
      <c r="G149" s="221">
        <v>0.18</v>
      </c>
      <c r="H149" s="54">
        <f>I148*F149*G149/365</f>
        <v>637200</v>
      </c>
      <c r="I149" s="223">
        <f>+I148+H149</f>
        <v>4177200</v>
      </c>
    </row>
    <row r="150" spans="1:12" s="6" customFormat="1" x14ac:dyDescent="0.35">
      <c r="A150" s="87"/>
      <c r="B150" s="54"/>
      <c r="C150" s="54"/>
      <c r="D150" s="17">
        <f>+E149</f>
        <v>44515</v>
      </c>
      <c r="E150" s="17">
        <v>44545</v>
      </c>
      <c r="F150" s="56">
        <f t="shared" ref="F150" si="14">+E150-D150</f>
        <v>30</v>
      </c>
      <c r="G150" s="221">
        <v>0.18</v>
      </c>
      <c r="H150" s="54">
        <f>I149*F150*G150/365</f>
        <v>61799.67123287671</v>
      </c>
      <c r="I150" s="223">
        <f>+I149+H150</f>
        <v>4238999.6712328764</v>
      </c>
    </row>
    <row r="151" spans="1:12" s="6" customFormat="1" x14ac:dyDescent="0.35">
      <c r="A151" s="83"/>
      <c r="B151" s="15"/>
      <c r="C151" s="15"/>
      <c r="D151" s="15"/>
      <c r="E151" s="15"/>
      <c r="F151" s="56"/>
      <c r="G151" s="15"/>
      <c r="H151" s="15"/>
      <c r="I151" s="224"/>
    </row>
    <row r="152" spans="1:12" s="6" customFormat="1" x14ac:dyDescent="0.35">
      <c r="A152" s="85">
        <v>44012</v>
      </c>
      <c r="B152" s="15">
        <v>1500000</v>
      </c>
      <c r="C152" s="15"/>
      <c r="D152" s="17">
        <v>44012</v>
      </c>
      <c r="E152" s="17">
        <v>44377</v>
      </c>
      <c r="F152" s="56">
        <f>+E152-D152</f>
        <v>365</v>
      </c>
      <c r="G152" s="221">
        <v>0.18</v>
      </c>
      <c r="H152" s="54">
        <f>B152*F152*G152/365</f>
        <v>270000</v>
      </c>
      <c r="I152" s="223">
        <f>+B152+H152</f>
        <v>1770000</v>
      </c>
    </row>
    <row r="153" spans="1:12" s="6" customFormat="1" x14ac:dyDescent="0.35">
      <c r="A153" s="85"/>
      <c r="B153" s="15"/>
      <c r="C153" s="15"/>
      <c r="D153" s="17">
        <f>+E152</f>
        <v>44377</v>
      </c>
      <c r="E153" s="17">
        <v>44545</v>
      </c>
      <c r="F153" s="56">
        <f>+E153-D153</f>
        <v>168</v>
      </c>
      <c r="G153" s="221">
        <v>0.18</v>
      </c>
      <c r="H153" s="54">
        <f>I152*F153*G153/365</f>
        <v>146643.28767123289</v>
      </c>
      <c r="I153" s="223">
        <f>+I152+H153</f>
        <v>1916643.2876712328</v>
      </c>
    </row>
    <row r="154" spans="1:12" ht="15" thickBot="1" x14ac:dyDescent="0.4">
      <c r="A154" s="119"/>
      <c r="B154" s="174"/>
      <c r="C154" s="174"/>
      <c r="D154" s="141"/>
      <c r="E154" s="141"/>
      <c r="F154" s="142"/>
      <c r="G154" s="143"/>
      <c r="H154" s="144"/>
      <c r="I154" s="210"/>
    </row>
    <row r="155" spans="1:12" s="6" customFormat="1" ht="15" thickBot="1" x14ac:dyDescent="0.4">
      <c r="A155" s="211"/>
      <c r="B155" s="225">
        <f>SUM(B148:B152)</f>
        <v>4500000</v>
      </c>
      <c r="C155" s="225"/>
      <c r="D155" s="226"/>
      <c r="E155" s="226"/>
      <c r="F155" s="227"/>
      <c r="G155" s="228"/>
      <c r="H155" s="225">
        <f>SUM(H148:H154)</f>
        <v>1655642.9589041094</v>
      </c>
      <c r="I155" s="229"/>
    </row>
    <row r="156" spans="1:12" ht="15" thickBot="1" x14ac:dyDescent="0.4">
      <c r="A156" s="206"/>
      <c r="B156" s="207"/>
      <c r="C156" s="207"/>
      <c r="D156" s="207"/>
      <c r="E156" s="207"/>
      <c r="F156" s="207"/>
      <c r="G156" s="207"/>
      <c r="H156" s="208"/>
      <c r="I156" s="209"/>
    </row>
    <row r="157" spans="1:12" ht="15" thickBot="1" x14ac:dyDescent="0.4">
      <c r="A157" s="657" t="s">
        <v>123</v>
      </c>
      <c r="B157" s="658"/>
      <c r="C157" s="658"/>
      <c r="D157" s="658"/>
      <c r="E157" s="658"/>
      <c r="F157" s="658"/>
      <c r="G157" s="658"/>
      <c r="H157" s="658"/>
      <c r="I157" s="659"/>
    </row>
    <row r="158" spans="1:12" x14ac:dyDescent="0.35">
      <c r="A158" s="216" t="s">
        <v>1</v>
      </c>
      <c r="B158" s="217" t="s">
        <v>7</v>
      </c>
      <c r="C158" s="217"/>
      <c r="D158" s="217" t="s">
        <v>2</v>
      </c>
      <c r="E158" s="217" t="s">
        <v>3</v>
      </c>
      <c r="F158" s="217" t="s">
        <v>4</v>
      </c>
      <c r="G158" s="217" t="s">
        <v>24</v>
      </c>
      <c r="H158" s="217" t="s">
        <v>6</v>
      </c>
      <c r="I158" s="218" t="s">
        <v>25</v>
      </c>
    </row>
    <row r="159" spans="1:12" x14ac:dyDescent="0.35">
      <c r="A159" s="83"/>
      <c r="B159" s="12" t="s">
        <v>139</v>
      </c>
      <c r="C159" s="12"/>
      <c r="D159" s="1"/>
      <c r="E159" s="1"/>
      <c r="F159" s="1"/>
      <c r="G159" s="1"/>
      <c r="H159" s="1"/>
      <c r="I159" s="84"/>
    </row>
    <row r="160" spans="1:12" s="6" customFormat="1" x14ac:dyDescent="0.35">
      <c r="A160" s="85">
        <v>44239</v>
      </c>
      <c r="B160" s="15">
        <v>1650000</v>
      </c>
      <c r="C160" s="15"/>
      <c r="D160" s="17">
        <v>44239</v>
      </c>
      <c r="E160" s="17">
        <v>44545</v>
      </c>
      <c r="F160" s="56">
        <f>E160-D160</f>
        <v>306</v>
      </c>
      <c r="G160" s="221">
        <v>0.18</v>
      </c>
      <c r="H160" s="54">
        <f>B160*F160*G160/365</f>
        <v>248991.78082191781</v>
      </c>
      <c r="I160" s="222">
        <f>+B160+H160</f>
        <v>1898991.7808219178</v>
      </c>
      <c r="K160" s="242"/>
      <c r="L160" s="242"/>
    </row>
    <row r="161" spans="1:13" s="6" customFormat="1" x14ac:dyDescent="0.35">
      <c r="A161" s="85">
        <v>44242</v>
      </c>
      <c r="B161" s="54">
        <v>850000</v>
      </c>
      <c r="C161" s="54"/>
      <c r="D161" s="17">
        <f>+A161</f>
        <v>44242</v>
      </c>
      <c r="E161" s="17">
        <v>44545</v>
      </c>
      <c r="F161" s="56">
        <f t="shared" ref="F161:F162" si="15">+E161-D161</f>
        <v>303</v>
      </c>
      <c r="G161" s="221">
        <v>0.18</v>
      </c>
      <c r="H161" s="54">
        <f>B161*F161*G161/365</f>
        <v>127010.95890410959</v>
      </c>
      <c r="I161" s="223">
        <f>+B161+H161</f>
        <v>977010.95890410955</v>
      </c>
      <c r="K161" s="242"/>
      <c r="L161" s="242"/>
    </row>
    <row r="162" spans="1:13" s="6" customFormat="1" x14ac:dyDescent="0.35">
      <c r="A162" s="85">
        <v>44278</v>
      </c>
      <c r="B162" s="54">
        <v>1000000</v>
      </c>
      <c r="C162" s="54"/>
      <c r="D162" s="17">
        <v>44278</v>
      </c>
      <c r="E162" s="17">
        <v>44545</v>
      </c>
      <c r="F162" s="56">
        <f t="shared" si="15"/>
        <v>267</v>
      </c>
      <c r="G162" s="221">
        <v>0.18</v>
      </c>
      <c r="H162" s="54">
        <f>B162*F162*G162/365</f>
        <v>131671.23287671234</v>
      </c>
      <c r="I162" s="223">
        <f>+B162+H162</f>
        <v>1131671.2328767125</v>
      </c>
      <c r="K162" s="242"/>
      <c r="L162" s="242"/>
    </row>
    <row r="163" spans="1:13" s="6" customFormat="1" x14ac:dyDescent="0.35">
      <c r="A163" s="85">
        <v>44540</v>
      </c>
      <c r="B163" s="54">
        <v>1700000</v>
      </c>
      <c r="C163" s="54"/>
      <c r="D163" s="17">
        <v>44540</v>
      </c>
      <c r="E163" s="17">
        <v>44545</v>
      </c>
      <c r="F163" s="56">
        <f t="shared" ref="F163" si="16">+E163-D163</f>
        <v>5</v>
      </c>
      <c r="G163" s="221">
        <v>0.18</v>
      </c>
      <c r="H163" s="54">
        <f>B163*F163*G163/365</f>
        <v>4191.7808219178078</v>
      </c>
      <c r="I163" s="223">
        <f>+B163+H163</f>
        <v>1704191.7808219178</v>
      </c>
      <c r="K163" s="242"/>
      <c r="L163" s="242"/>
    </row>
    <row r="164" spans="1:13" x14ac:dyDescent="0.35">
      <c r="A164" s="87"/>
      <c r="B164" s="54"/>
      <c r="C164" s="54"/>
      <c r="D164" s="2"/>
      <c r="E164" s="2"/>
      <c r="F164" s="56"/>
      <c r="G164" s="4"/>
      <c r="H164" s="40">
        <f>+SUM(H160:H163)</f>
        <v>511865.75342465757</v>
      </c>
      <c r="I164" s="86"/>
      <c r="L164" s="243"/>
      <c r="M164" s="10"/>
    </row>
    <row r="165" spans="1:13" x14ac:dyDescent="0.35">
      <c r="A165" s="87"/>
      <c r="B165" s="40">
        <f>SUM(B160:B164)</f>
        <v>5200000</v>
      </c>
      <c r="C165" s="40"/>
      <c r="D165" s="2"/>
      <c r="E165" s="2"/>
      <c r="F165" s="3"/>
      <c r="G165" s="4"/>
      <c r="H165" s="40"/>
      <c r="I165" s="86"/>
    </row>
    <row r="166" spans="1:13" x14ac:dyDescent="0.35">
      <c r="A166" s="85"/>
      <c r="B166" s="514" t="s">
        <v>42</v>
      </c>
      <c r="C166" s="515"/>
      <c r="D166" s="515"/>
      <c r="E166" s="515"/>
      <c r="F166" s="515"/>
      <c r="G166" s="516"/>
      <c r="H166" s="40">
        <f>+H155-H164</f>
        <v>1143777.2054794519</v>
      </c>
      <c r="I166" s="86"/>
    </row>
    <row r="167" spans="1:13" ht="15" thickBot="1" x14ac:dyDescent="0.4">
      <c r="A167" s="119"/>
      <c r="B167" s="588" t="s">
        <v>43</v>
      </c>
      <c r="C167" s="589"/>
      <c r="D167" s="589"/>
      <c r="E167" s="589"/>
      <c r="F167" s="589"/>
      <c r="G167" s="590"/>
      <c r="H167" s="230">
        <v>1000000</v>
      </c>
      <c r="I167" s="121"/>
    </row>
    <row r="168" spans="1:13" s="9" customFormat="1" ht="15" thickBot="1" x14ac:dyDescent="0.4">
      <c r="A168" s="219"/>
      <c r="B168" s="660" t="s">
        <v>58</v>
      </c>
      <c r="C168" s="661"/>
      <c r="D168" s="661"/>
      <c r="E168" s="661"/>
      <c r="F168" s="661"/>
      <c r="G168" s="662"/>
      <c r="H168" s="231">
        <f>SUM(H166:H167)</f>
        <v>2143777.2054794519</v>
      </c>
      <c r="I168" s="220"/>
    </row>
    <row r="171" spans="1:13" ht="15" thickBot="1" x14ac:dyDescent="0.4"/>
    <row r="172" spans="1:13" ht="19" thickBot="1" x14ac:dyDescent="0.5">
      <c r="A172" s="511" t="s">
        <v>172</v>
      </c>
      <c r="B172" s="512"/>
      <c r="C172" s="512"/>
      <c r="D172" s="512"/>
      <c r="E172" s="512"/>
      <c r="F172" s="512"/>
      <c r="G172" s="512"/>
      <c r="H172" s="512"/>
      <c r="I172" s="513"/>
    </row>
    <row r="173" spans="1:13" ht="15" thickBot="1" x14ac:dyDescent="0.4">
      <c r="A173" s="654" t="s">
        <v>124</v>
      </c>
      <c r="B173" s="655"/>
      <c r="C173" s="655"/>
      <c r="D173" s="655"/>
      <c r="E173" s="655"/>
      <c r="F173" s="655"/>
      <c r="G173" s="655"/>
      <c r="H173" s="655"/>
      <c r="I173" s="656"/>
    </row>
    <row r="174" spans="1:13" s="6" customFormat="1" x14ac:dyDescent="0.35">
      <c r="A174" s="216" t="s">
        <v>1</v>
      </c>
      <c r="B174" s="217" t="s">
        <v>7</v>
      </c>
      <c r="C174" s="217"/>
      <c r="D174" s="217" t="s">
        <v>2</v>
      </c>
      <c r="E174" s="217" t="s">
        <v>3</v>
      </c>
      <c r="F174" s="217" t="s">
        <v>4</v>
      </c>
      <c r="G174" s="217" t="s">
        <v>24</v>
      </c>
      <c r="H174" s="217" t="s">
        <v>6</v>
      </c>
      <c r="I174" s="218" t="s">
        <v>25</v>
      </c>
    </row>
    <row r="175" spans="1:13" s="6" customFormat="1" x14ac:dyDescent="0.35">
      <c r="A175" s="83"/>
      <c r="B175" s="12" t="s">
        <v>8</v>
      </c>
      <c r="C175" s="12"/>
      <c r="D175" s="15"/>
      <c r="E175" s="15"/>
      <c r="F175" s="15"/>
      <c r="G175" s="15"/>
      <c r="H175" s="15"/>
      <c r="I175" s="224"/>
    </row>
    <row r="176" spans="1:13" s="6" customFormat="1" x14ac:dyDescent="0.35">
      <c r="A176" s="85">
        <v>44446</v>
      </c>
      <c r="B176" s="15">
        <v>2000000</v>
      </c>
      <c r="C176" s="15"/>
      <c r="D176" s="17">
        <v>44446</v>
      </c>
      <c r="E176" s="17">
        <v>44545</v>
      </c>
      <c r="F176" s="56">
        <f>+E176-D176</f>
        <v>99</v>
      </c>
      <c r="G176" s="221">
        <v>0.18</v>
      </c>
      <c r="H176" s="54">
        <f>B176*F176*G176/365</f>
        <v>97643.835616438359</v>
      </c>
      <c r="I176" s="222">
        <f>+B176+H176</f>
        <v>2097643.8356164382</v>
      </c>
    </row>
    <row r="177" spans="1:9" s="6" customFormat="1" x14ac:dyDescent="0.35">
      <c r="A177" s="85"/>
      <c r="B177" s="54"/>
      <c r="C177" s="54"/>
      <c r="D177" s="17"/>
      <c r="E177" s="17"/>
      <c r="F177" s="56"/>
      <c r="G177" s="221">
        <v>0.18</v>
      </c>
      <c r="H177" s="54">
        <f>B177*F177*G177/365</f>
        <v>0</v>
      </c>
      <c r="I177" s="222">
        <f>+B177+H177</f>
        <v>0</v>
      </c>
    </row>
    <row r="178" spans="1:9" s="6" customFormat="1" x14ac:dyDescent="0.35">
      <c r="A178" s="87"/>
      <c r="B178" s="54"/>
      <c r="C178" s="54"/>
      <c r="D178" s="17"/>
      <c r="E178" s="17"/>
      <c r="F178" s="56"/>
      <c r="G178" s="221"/>
      <c r="H178" s="54"/>
      <c r="I178" s="223"/>
    </row>
    <row r="179" spans="1:9" ht="15" thickBot="1" x14ac:dyDescent="0.4">
      <c r="A179" s="119"/>
      <c r="B179" s="233"/>
      <c r="C179" s="233"/>
      <c r="D179" s="141"/>
      <c r="E179" s="141"/>
      <c r="F179" s="142"/>
      <c r="G179" s="143"/>
      <c r="H179" s="232"/>
      <c r="I179" s="210"/>
    </row>
    <row r="180" spans="1:9" ht="15" thickBot="1" x14ac:dyDescent="0.4">
      <c r="A180" s="211"/>
      <c r="B180" s="225">
        <f>+B176</f>
        <v>2000000</v>
      </c>
      <c r="C180" s="225"/>
      <c r="D180" s="212"/>
      <c r="E180" s="212"/>
      <c r="F180" s="213"/>
      <c r="G180" s="214"/>
      <c r="H180" s="225">
        <f>SUM(H176:H179)</f>
        <v>97643.835616438359</v>
      </c>
      <c r="I180" s="215"/>
    </row>
    <row r="182" spans="1:9" ht="15" thickBot="1" x14ac:dyDescent="0.4"/>
    <row r="183" spans="1:9" ht="16" thickBot="1" x14ac:dyDescent="0.4">
      <c r="D183" s="629" t="s">
        <v>181</v>
      </c>
      <c r="E183" s="630"/>
    </row>
    <row r="184" spans="1:9" x14ac:dyDescent="0.35">
      <c r="D184" s="236" t="s">
        <v>173</v>
      </c>
      <c r="E184" s="151">
        <f>+B155+B180</f>
        <v>6500000</v>
      </c>
    </row>
    <row r="185" spans="1:9" x14ac:dyDescent="0.35">
      <c r="D185" s="171" t="s">
        <v>180</v>
      </c>
      <c r="E185" s="86">
        <f>+H155+H180</f>
        <v>1753286.7945205478</v>
      </c>
    </row>
    <row r="186" spans="1:9" ht="15" thickBot="1" x14ac:dyDescent="0.4">
      <c r="D186" s="237"/>
      <c r="E186" s="129"/>
    </row>
    <row r="187" spans="1:9" ht="15" thickBot="1" x14ac:dyDescent="0.4">
      <c r="D187" s="234" t="s">
        <v>174</v>
      </c>
      <c r="E187" s="131">
        <f>SUM(E184:E186)</f>
        <v>8253286.7945205476</v>
      </c>
    </row>
    <row r="188" spans="1:9" x14ac:dyDescent="0.35">
      <c r="D188" s="236"/>
      <c r="E188" s="130"/>
    </row>
    <row r="189" spans="1:9" x14ac:dyDescent="0.35">
      <c r="D189" s="171" t="s">
        <v>139</v>
      </c>
      <c r="E189" s="86">
        <f>+B165</f>
        <v>5200000</v>
      </c>
    </row>
    <row r="190" spans="1:9" x14ac:dyDescent="0.35">
      <c r="D190" s="171" t="s">
        <v>179</v>
      </c>
      <c r="E190" s="86">
        <f>+H164</f>
        <v>511865.75342465757</v>
      </c>
    </row>
    <row r="191" spans="1:9" ht="15" thickBot="1" x14ac:dyDescent="0.4">
      <c r="D191" s="237"/>
      <c r="E191" s="129"/>
    </row>
    <row r="192" spans="1:9" ht="15" thickBot="1" x14ac:dyDescent="0.4">
      <c r="D192" s="234" t="s">
        <v>175</v>
      </c>
      <c r="E192" s="131">
        <f>+E189+E190</f>
        <v>5711865.7534246575</v>
      </c>
    </row>
    <row r="193" spans="1:9" ht="15" thickBot="1" x14ac:dyDescent="0.4">
      <c r="D193" s="238"/>
      <c r="E193" s="239"/>
      <c r="F193" s="14"/>
    </row>
    <row r="194" spans="1:9" ht="15" thickBot="1" x14ac:dyDescent="0.4">
      <c r="D194" s="234" t="s">
        <v>176</v>
      </c>
      <c r="E194" s="235">
        <f>+E187-E192</f>
        <v>2541421.0410958901</v>
      </c>
    </row>
    <row r="196" spans="1:9" x14ac:dyDescent="0.35">
      <c r="D196" s="9" t="s">
        <v>177</v>
      </c>
      <c r="E196" s="9">
        <v>2541158</v>
      </c>
    </row>
    <row r="197" spans="1:9" x14ac:dyDescent="0.35">
      <c r="E197" s="14"/>
    </row>
    <row r="198" spans="1:9" x14ac:dyDescent="0.35">
      <c r="D198" s="241" t="s">
        <v>178</v>
      </c>
      <c r="E198" s="240">
        <f>+E194-E196</f>
        <v>263.04109589010477</v>
      </c>
    </row>
    <row r="202" spans="1:9" ht="19" thickBot="1" x14ac:dyDescent="0.5">
      <c r="A202" s="653" t="s">
        <v>225</v>
      </c>
      <c r="B202" s="653"/>
      <c r="C202" s="653"/>
      <c r="D202" s="653"/>
      <c r="E202" s="653"/>
      <c r="F202" s="653"/>
      <c r="G202" s="653"/>
      <c r="H202" s="653"/>
      <c r="I202" s="653"/>
    </row>
    <row r="203" spans="1:9" ht="19" thickBot="1" x14ac:dyDescent="0.5">
      <c r="A203" s="511" t="s">
        <v>162</v>
      </c>
      <c r="B203" s="512"/>
      <c r="C203" s="512"/>
      <c r="D203" s="512"/>
      <c r="E203" s="512"/>
      <c r="F203" s="512"/>
      <c r="G203" s="512"/>
      <c r="H203" s="512"/>
      <c r="I203" s="513"/>
    </row>
    <row r="204" spans="1:9" ht="19" thickBot="1" x14ac:dyDescent="0.5">
      <c r="A204" s="663" t="s">
        <v>124</v>
      </c>
      <c r="B204" s="664"/>
      <c r="C204" s="664"/>
      <c r="D204" s="664"/>
      <c r="E204" s="664"/>
      <c r="F204" s="664"/>
      <c r="G204" s="664"/>
      <c r="H204" s="664"/>
      <c r="I204" s="665"/>
    </row>
    <row r="205" spans="1:9" x14ac:dyDescent="0.35">
      <c r="A205" s="216" t="s">
        <v>1</v>
      </c>
      <c r="B205" s="217" t="s">
        <v>7</v>
      </c>
      <c r="C205" s="217"/>
      <c r="D205" s="217" t="s">
        <v>2</v>
      </c>
      <c r="E205" s="217" t="s">
        <v>3</v>
      </c>
      <c r="F205" s="217" t="s">
        <v>4</v>
      </c>
      <c r="G205" s="217" t="s">
        <v>24</v>
      </c>
      <c r="H205" s="217" t="s">
        <v>6</v>
      </c>
      <c r="I205" s="218" t="s">
        <v>25</v>
      </c>
    </row>
    <row r="206" spans="1:9" x14ac:dyDescent="0.35">
      <c r="A206" s="83"/>
      <c r="B206" s="12" t="s">
        <v>153</v>
      </c>
      <c r="C206" s="12"/>
      <c r="D206" s="15"/>
      <c r="E206" s="15"/>
      <c r="F206" s="15"/>
      <c r="G206" s="15"/>
      <c r="H206" s="15"/>
      <c r="I206" s="224"/>
    </row>
    <row r="207" spans="1:9" x14ac:dyDescent="0.35">
      <c r="A207" s="85" t="s">
        <v>286</v>
      </c>
      <c r="B207" s="15">
        <v>3000000</v>
      </c>
      <c r="C207" s="15"/>
      <c r="D207" s="17">
        <v>43784</v>
      </c>
      <c r="E207" s="17">
        <v>44150</v>
      </c>
      <c r="F207" s="56">
        <v>365</v>
      </c>
      <c r="G207" s="221">
        <v>0.18</v>
      </c>
      <c r="H207" s="54">
        <f>B207*F207*G207/365</f>
        <v>540000</v>
      </c>
      <c r="I207" s="222">
        <f>+B207+H207</f>
        <v>3540000</v>
      </c>
    </row>
    <row r="208" spans="1:9" x14ac:dyDescent="0.35">
      <c r="A208" s="87"/>
      <c r="B208" s="54"/>
      <c r="C208" s="54"/>
      <c r="D208" s="17">
        <f>+E207</f>
        <v>44150</v>
      </c>
      <c r="E208" s="17">
        <v>44515</v>
      </c>
      <c r="F208" s="56">
        <f t="shared" ref="F208:F209" si="17">+E208-D208</f>
        <v>365</v>
      </c>
      <c r="G208" s="221">
        <v>0.18</v>
      </c>
      <c r="H208" s="54">
        <f>I207*F208*G208/365</f>
        <v>637200</v>
      </c>
      <c r="I208" s="222">
        <f>+I207+H208</f>
        <v>4177200</v>
      </c>
    </row>
    <row r="209" spans="1:11" x14ac:dyDescent="0.35">
      <c r="A209" s="87"/>
      <c r="B209" s="54"/>
      <c r="C209" s="54"/>
      <c r="D209" s="17">
        <f>+E208</f>
        <v>44515</v>
      </c>
      <c r="E209" s="17">
        <v>44875</v>
      </c>
      <c r="F209" s="56">
        <f t="shared" si="17"/>
        <v>360</v>
      </c>
      <c r="G209" s="221">
        <v>0.18</v>
      </c>
      <c r="H209" s="54">
        <f>I208*F209*G209/365</f>
        <v>741596.05479452061</v>
      </c>
      <c r="I209" s="223">
        <f>+I208+H209</f>
        <v>4918796.0547945201</v>
      </c>
    </row>
    <row r="210" spans="1:11" x14ac:dyDescent="0.35">
      <c r="A210" s="87"/>
      <c r="B210" s="54"/>
      <c r="C210" s="54"/>
      <c r="D210" s="17"/>
      <c r="E210" s="17"/>
      <c r="F210" s="56"/>
      <c r="G210" s="221"/>
      <c r="H210" s="54"/>
      <c r="I210" s="222"/>
      <c r="K210" s="46"/>
    </row>
    <row r="211" spans="1:11" x14ac:dyDescent="0.35">
      <c r="A211" s="83"/>
      <c r="B211" s="15"/>
      <c r="C211" s="15"/>
      <c r="D211" s="15"/>
      <c r="E211" s="15"/>
      <c r="F211" s="56"/>
      <c r="G211" s="15"/>
      <c r="H211" s="15"/>
      <c r="I211" s="224"/>
    </row>
    <row r="212" spans="1:11" x14ac:dyDescent="0.35">
      <c r="A212" s="85" t="s">
        <v>287</v>
      </c>
      <c r="B212" s="15">
        <v>1500000</v>
      </c>
      <c r="C212" s="15"/>
      <c r="D212" s="17">
        <v>44012</v>
      </c>
      <c r="E212" s="17">
        <v>44377</v>
      </c>
      <c r="F212" s="56">
        <f>+E212-D212</f>
        <v>365</v>
      </c>
      <c r="G212" s="221">
        <v>0.18</v>
      </c>
      <c r="H212" s="54">
        <f>B212*F212*G212/365</f>
        <v>270000</v>
      </c>
      <c r="I212" s="222">
        <f>+B212+H212</f>
        <v>1770000</v>
      </c>
    </row>
    <row r="213" spans="1:11" x14ac:dyDescent="0.35">
      <c r="A213" s="85"/>
      <c r="B213" s="15"/>
      <c r="C213" s="15"/>
      <c r="D213" s="17">
        <f>+E212</f>
        <v>44377</v>
      </c>
      <c r="E213" s="17">
        <v>44742</v>
      </c>
      <c r="F213" s="56">
        <f>+E213-D213</f>
        <v>365</v>
      </c>
      <c r="G213" s="221">
        <v>0.18</v>
      </c>
      <c r="H213" s="54">
        <f>I212*F213*G213/365</f>
        <v>318600</v>
      </c>
      <c r="I213" s="222">
        <f>+I212+H213</f>
        <v>2088600</v>
      </c>
    </row>
    <row r="214" spans="1:11" x14ac:dyDescent="0.35">
      <c r="A214" s="119"/>
      <c r="B214" s="233"/>
      <c r="C214" s="233"/>
      <c r="D214" s="140">
        <f>+E213</f>
        <v>44742</v>
      </c>
      <c r="E214" s="140">
        <v>44875</v>
      </c>
      <c r="F214" s="56">
        <f>+E214-D214</f>
        <v>133</v>
      </c>
      <c r="G214" s="221">
        <v>0.18</v>
      </c>
      <c r="H214" s="54">
        <f>I213*F214*G214/365</f>
        <v>136989.27123287672</v>
      </c>
      <c r="I214" s="223">
        <f>+I213+H214</f>
        <v>2225589.2712328769</v>
      </c>
    </row>
    <row r="215" spans="1:11" x14ac:dyDescent="0.35">
      <c r="A215" s="119"/>
      <c r="B215" s="233"/>
      <c r="C215" s="233"/>
      <c r="D215" s="140"/>
      <c r="E215" s="140"/>
      <c r="F215" s="142"/>
      <c r="G215" s="258"/>
      <c r="H215" s="232"/>
      <c r="I215" s="281"/>
    </row>
    <row r="216" spans="1:11" x14ac:dyDescent="0.35">
      <c r="A216" s="85" t="s">
        <v>288</v>
      </c>
      <c r="B216" s="15">
        <v>2000000</v>
      </c>
      <c r="C216" s="15"/>
      <c r="D216" s="17">
        <v>44446</v>
      </c>
      <c r="E216" s="17">
        <v>44811</v>
      </c>
      <c r="F216" s="56">
        <f>+E216-D216</f>
        <v>365</v>
      </c>
      <c r="G216" s="221">
        <v>0.18</v>
      </c>
      <c r="H216" s="54">
        <f>B216*F216*G216/365</f>
        <v>360000</v>
      </c>
      <c r="I216" s="222">
        <f>+B216+H216</f>
        <v>2360000</v>
      </c>
    </row>
    <row r="217" spans="1:11" x14ac:dyDescent="0.35">
      <c r="A217" s="85"/>
      <c r="B217" s="54"/>
      <c r="C217" s="54"/>
      <c r="D217" s="17">
        <f>+E216</f>
        <v>44811</v>
      </c>
      <c r="E217" s="17">
        <v>44875</v>
      </c>
      <c r="F217" s="56">
        <f>+E217-D217</f>
        <v>64</v>
      </c>
      <c r="G217" s="221">
        <v>0.18</v>
      </c>
      <c r="H217" s="54">
        <f>I216*F217*G217/365</f>
        <v>74485.479452054788</v>
      </c>
      <c r="I217" s="223">
        <f>+I216+H217</f>
        <v>2434485.4794520549</v>
      </c>
    </row>
    <row r="218" spans="1:11" x14ac:dyDescent="0.35">
      <c r="A218" s="119"/>
      <c r="B218" s="233"/>
      <c r="C218" s="233"/>
      <c r="D218" s="140"/>
      <c r="E218" s="140"/>
      <c r="F218" s="142"/>
      <c r="G218" s="258"/>
      <c r="H218" s="232"/>
      <c r="I218" s="259"/>
    </row>
    <row r="219" spans="1:11" ht="15" thickBot="1" x14ac:dyDescent="0.4">
      <c r="A219" s="119"/>
      <c r="B219" s="174"/>
      <c r="C219" s="174"/>
      <c r="D219" s="141"/>
      <c r="E219" s="141"/>
      <c r="F219" s="142"/>
      <c r="G219" s="143"/>
      <c r="H219" s="144"/>
      <c r="I219" s="210"/>
    </row>
    <row r="220" spans="1:11" ht="16" thickBot="1" x14ac:dyDescent="0.4">
      <c r="A220" s="276"/>
      <c r="B220" s="277">
        <f>SUM(B207:B217)</f>
        <v>6500000</v>
      </c>
      <c r="C220" s="277"/>
      <c r="D220" s="154"/>
      <c r="E220" s="154"/>
      <c r="F220" s="278"/>
      <c r="G220" s="279"/>
      <c r="H220" s="277">
        <f>SUM(H207:H219)</f>
        <v>3078870.8054794525</v>
      </c>
      <c r="I220" s="280"/>
    </row>
    <row r="221" spans="1:11" ht="15" thickBot="1" x14ac:dyDescent="0.4">
      <c r="A221" s="206"/>
      <c r="B221" s="207"/>
      <c r="C221" s="207"/>
      <c r="D221" s="207"/>
      <c r="E221" s="207"/>
      <c r="F221" s="207"/>
      <c r="G221" s="207"/>
      <c r="H221" s="208"/>
      <c r="I221" s="209"/>
    </row>
    <row r="222" spans="1:11" ht="19" thickBot="1" x14ac:dyDescent="0.5">
      <c r="A222" s="666" t="s">
        <v>123</v>
      </c>
      <c r="B222" s="667"/>
      <c r="C222" s="667"/>
      <c r="D222" s="667"/>
      <c r="E222" s="667"/>
      <c r="F222" s="667"/>
      <c r="G222" s="667"/>
      <c r="H222" s="667"/>
      <c r="I222" s="668"/>
    </row>
    <row r="223" spans="1:11" ht="29.25" customHeight="1" x14ac:dyDescent="0.35">
      <c r="A223" s="216" t="s">
        <v>1</v>
      </c>
      <c r="B223" s="217" t="s">
        <v>7</v>
      </c>
      <c r="C223" s="217"/>
      <c r="D223" s="217" t="s">
        <v>2</v>
      </c>
      <c r="E223" s="217" t="s">
        <v>3</v>
      </c>
      <c r="F223" s="217" t="s">
        <v>4</v>
      </c>
      <c r="G223" s="217" t="s">
        <v>24</v>
      </c>
      <c r="H223" s="217" t="s">
        <v>6</v>
      </c>
      <c r="I223" s="218" t="s">
        <v>25</v>
      </c>
    </row>
    <row r="224" spans="1:11" x14ac:dyDescent="0.35">
      <c r="A224" s="83"/>
      <c r="B224" s="12" t="s">
        <v>139</v>
      </c>
      <c r="C224" s="12"/>
      <c r="D224" s="1"/>
      <c r="E224" s="1"/>
      <c r="F224" s="1"/>
      <c r="G224" s="1"/>
      <c r="H224" s="1"/>
      <c r="I224" s="84"/>
    </row>
    <row r="225" spans="1:9" x14ac:dyDescent="0.35">
      <c r="A225" s="85" t="s">
        <v>289</v>
      </c>
      <c r="B225" s="15">
        <v>1650000</v>
      </c>
      <c r="C225" s="15"/>
      <c r="D225" s="17">
        <v>44239</v>
      </c>
      <c r="E225" s="17">
        <v>44604</v>
      </c>
      <c r="F225" s="56">
        <f>E225-D225</f>
        <v>365</v>
      </c>
      <c r="G225" s="221">
        <v>0.18</v>
      </c>
      <c r="H225" s="54">
        <f>B225*F225*G225/365</f>
        <v>297000</v>
      </c>
      <c r="I225" s="222">
        <f>+B225+H225</f>
        <v>1947000</v>
      </c>
    </row>
    <row r="226" spans="1:9" x14ac:dyDescent="0.35">
      <c r="A226" s="85"/>
      <c r="B226" s="15"/>
      <c r="C226" s="15"/>
      <c r="D226" s="17">
        <f>+E225</f>
        <v>44604</v>
      </c>
      <c r="E226" s="17">
        <v>44875</v>
      </c>
      <c r="F226" s="56">
        <f>E226-D226</f>
        <v>271</v>
      </c>
      <c r="G226" s="221">
        <v>0.18</v>
      </c>
      <c r="H226" s="54">
        <f>I225*F226*G226/365</f>
        <v>260204.54794520547</v>
      </c>
      <c r="I226" s="223">
        <f>+I225+H226</f>
        <v>2207204.5479452056</v>
      </c>
    </row>
    <row r="227" spans="1:9" x14ac:dyDescent="0.35">
      <c r="A227" s="85"/>
      <c r="B227" s="15"/>
      <c r="C227" s="15"/>
      <c r="D227" s="17"/>
      <c r="E227" s="17"/>
      <c r="F227" s="56"/>
      <c r="G227" s="221"/>
      <c r="H227" s="54"/>
      <c r="I227" s="222"/>
    </row>
    <row r="228" spans="1:9" x14ac:dyDescent="0.35">
      <c r="A228" s="85" t="s">
        <v>290</v>
      </c>
      <c r="B228" s="54">
        <v>850000</v>
      </c>
      <c r="C228" s="54"/>
      <c r="D228" s="17">
        <v>44242</v>
      </c>
      <c r="E228" s="17">
        <v>44607</v>
      </c>
      <c r="F228" s="56">
        <f t="shared" ref="F228:F234" si="18">+E228-D228</f>
        <v>365</v>
      </c>
      <c r="G228" s="221">
        <v>0.18</v>
      </c>
      <c r="H228" s="54">
        <f>B228*F228*G228/365</f>
        <v>153000</v>
      </c>
      <c r="I228" s="222">
        <f>+B228+H228</f>
        <v>1003000</v>
      </c>
    </row>
    <row r="229" spans="1:9" x14ac:dyDescent="0.35">
      <c r="A229" s="85"/>
      <c r="B229" s="54"/>
      <c r="C229" s="54"/>
      <c r="D229" s="17">
        <f>+E228</f>
        <v>44607</v>
      </c>
      <c r="E229" s="17">
        <v>44875</v>
      </c>
      <c r="F229" s="56">
        <f>E229-D229</f>
        <v>268</v>
      </c>
      <c r="G229" s="221">
        <v>0.18</v>
      </c>
      <c r="H229" s="54">
        <f>I228*F229*G229/365</f>
        <v>132560.87671232875</v>
      </c>
      <c r="I229" s="223">
        <f>+I228+H229</f>
        <v>1135560.8767123288</v>
      </c>
    </row>
    <row r="230" spans="1:9" x14ac:dyDescent="0.35">
      <c r="A230" s="85"/>
      <c r="B230" s="54"/>
      <c r="C230" s="54"/>
      <c r="D230" s="17"/>
      <c r="E230" s="17"/>
      <c r="F230" s="56"/>
      <c r="G230" s="221"/>
      <c r="H230" s="54"/>
      <c r="I230" s="222"/>
    </row>
    <row r="231" spans="1:9" x14ac:dyDescent="0.35">
      <c r="A231" s="85" t="s">
        <v>291</v>
      </c>
      <c r="B231" s="54">
        <v>1000000</v>
      </c>
      <c r="C231" s="54"/>
      <c r="D231" s="17">
        <v>44278</v>
      </c>
      <c r="E231" s="17">
        <v>44643</v>
      </c>
      <c r="F231" s="56">
        <f t="shared" si="18"/>
        <v>365</v>
      </c>
      <c r="G231" s="221">
        <v>0.18</v>
      </c>
      <c r="H231" s="54">
        <f>B231*F231*G231/365</f>
        <v>180000</v>
      </c>
      <c r="I231" s="222">
        <f>+H231+B231</f>
        <v>1180000</v>
      </c>
    </row>
    <row r="232" spans="1:9" x14ac:dyDescent="0.35">
      <c r="A232" s="85"/>
      <c r="B232" s="54"/>
      <c r="C232" s="54"/>
      <c r="D232" s="17">
        <f>+E231</f>
        <v>44643</v>
      </c>
      <c r="E232" s="17">
        <v>44875</v>
      </c>
      <c r="F232" s="56">
        <f>E232-D232</f>
        <v>232</v>
      </c>
      <c r="G232" s="221">
        <v>0.18</v>
      </c>
      <c r="H232" s="54">
        <f>I231*F232*G232/365</f>
        <v>135004.9315068493</v>
      </c>
      <c r="I232" s="223">
        <f>+I231+H232</f>
        <v>1315004.9315068494</v>
      </c>
    </row>
    <row r="233" spans="1:9" x14ac:dyDescent="0.35">
      <c r="A233" s="85"/>
      <c r="B233" s="54"/>
      <c r="C233" s="54"/>
      <c r="D233" s="17"/>
      <c r="E233" s="17"/>
      <c r="F233" s="56"/>
      <c r="G233" s="221"/>
      <c r="H233" s="54"/>
      <c r="I233" s="222"/>
    </row>
    <row r="234" spans="1:9" x14ac:dyDescent="0.35">
      <c r="A234" s="85" t="s">
        <v>292</v>
      </c>
      <c r="B234" s="54">
        <v>1700000</v>
      </c>
      <c r="C234" s="54"/>
      <c r="D234" s="17">
        <v>44540</v>
      </c>
      <c r="E234" s="17">
        <v>44875</v>
      </c>
      <c r="F234" s="56">
        <f t="shared" si="18"/>
        <v>335</v>
      </c>
      <c r="G234" s="221">
        <v>0.18</v>
      </c>
      <c r="H234" s="54">
        <f>B234*F234*G234/365</f>
        <v>280849.31506849313</v>
      </c>
      <c r="I234" s="223">
        <f>+B234+H234</f>
        <v>1980849.3150684931</v>
      </c>
    </row>
    <row r="235" spans="1:9" x14ac:dyDescent="0.35">
      <c r="A235" s="85"/>
      <c r="B235" s="54"/>
      <c r="C235" s="54"/>
      <c r="D235" s="17"/>
      <c r="E235" s="17"/>
      <c r="F235" s="56"/>
      <c r="G235" s="221"/>
      <c r="H235" s="54"/>
      <c r="I235" s="222"/>
    </row>
    <row r="236" spans="1:9" x14ac:dyDescent="0.35">
      <c r="A236" s="85" t="s">
        <v>293</v>
      </c>
      <c r="B236" s="54">
        <v>1000000</v>
      </c>
      <c r="C236" s="54"/>
      <c r="D236" s="17">
        <v>44655</v>
      </c>
      <c r="E236" s="17">
        <v>44875</v>
      </c>
      <c r="F236" s="56">
        <f t="shared" ref="F236" si="19">+E236-D236</f>
        <v>220</v>
      </c>
      <c r="G236" s="221">
        <v>0.18</v>
      </c>
      <c r="H236" s="54">
        <f>B236*F236*G236/365</f>
        <v>108493.1506849315</v>
      </c>
      <c r="I236" s="223">
        <f>+I233+H236</f>
        <v>108493.1506849315</v>
      </c>
    </row>
    <row r="237" spans="1:9" x14ac:dyDescent="0.35">
      <c r="A237" s="85"/>
      <c r="B237" s="54"/>
      <c r="C237" s="54"/>
      <c r="D237" s="17"/>
      <c r="E237" s="17"/>
      <c r="F237" s="56"/>
      <c r="G237" s="221"/>
      <c r="H237" s="54"/>
      <c r="I237" s="222"/>
    </row>
    <row r="238" spans="1:9" x14ac:dyDescent="0.35">
      <c r="A238" s="85" t="s">
        <v>294</v>
      </c>
      <c r="B238" s="54">
        <v>1800000</v>
      </c>
      <c r="C238" s="54"/>
      <c r="D238" s="17"/>
      <c r="E238" s="17"/>
      <c r="F238" s="56"/>
      <c r="G238" s="221"/>
      <c r="H238" s="54"/>
      <c r="I238" s="222"/>
    </row>
    <row r="239" spans="1:9" x14ac:dyDescent="0.35">
      <c r="A239" s="85"/>
      <c r="B239" s="54"/>
      <c r="C239" s="54"/>
      <c r="D239" s="17"/>
      <c r="E239" s="17"/>
      <c r="F239" s="56"/>
      <c r="G239" s="221"/>
      <c r="H239" s="54"/>
      <c r="I239" s="222"/>
    </row>
    <row r="240" spans="1:9" x14ac:dyDescent="0.35">
      <c r="A240" s="87"/>
      <c r="B240" s="40">
        <f>SUM(B224:B239)</f>
        <v>8000000</v>
      </c>
      <c r="C240" s="40"/>
      <c r="D240" s="2"/>
      <c r="E240" s="2"/>
      <c r="F240" s="56"/>
      <c r="G240" s="4"/>
      <c r="H240" s="40">
        <f>+SUM(H225:H237)</f>
        <v>1547112.8219178081</v>
      </c>
      <c r="I240" s="86"/>
    </row>
    <row r="241" spans="1:9" x14ac:dyDescent="0.35">
      <c r="A241" s="87"/>
      <c r="B241" s="40"/>
      <c r="C241" s="40"/>
      <c r="D241" s="2"/>
      <c r="E241" s="2"/>
      <c r="F241" s="3"/>
      <c r="G241" s="4"/>
      <c r="H241" s="40"/>
      <c r="I241" s="86"/>
    </row>
    <row r="242" spans="1:9" x14ac:dyDescent="0.35">
      <c r="A242" s="85"/>
      <c r="B242" s="514" t="s">
        <v>42</v>
      </c>
      <c r="C242" s="515"/>
      <c r="D242" s="515"/>
      <c r="E242" s="515"/>
      <c r="F242" s="515"/>
      <c r="G242" s="516"/>
      <c r="H242" s="40">
        <f>+H220-H240</f>
        <v>1531757.9835616443</v>
      </c>
      <c r="I242" s="86"/>
    </row>
    <row r="243" spans="1:9" ht="15" thickBot="1" x14ac:dyDescent="0.4">
      <c r="A243" s="119"/>
      <c r="B243" s="588" t="s">
        <v>43</v>
      </c>
      <c r="C243" s="589"/>
      <c r="D243" s="589"/>
      <c r="E243" s="589"/>
      <c r="F243" s="589"/>
      <c r="G243" s="590"/>
      <c r="H243" s="230">
        <f>+B220-B240</f>
        <v>-1500000</v>
      </c>
      <c r="I243" s="121"/>
    </row>
    <row r="244" spans="1:9" s="137" customFormat="1" ht="16" thickBot="1" x14ac:dyDescent="0.4">
      <c r="A244" s="273"/>
      <c r="B244" s="669" t="s">
        <v>58</v>
      </c>
      <c r="C244" s="670"/>
      <c r="D244" s="670"/>
      <c r="E244" s="670"/>
      <c r="F244" s="670"/>
      <c r="G244" s="671"/>
      <c r="H244" s="274">
        <f>SUM(H242:H243)</f>
        <v>31757.983561644331</v>
      </c>
      <c r="I244" s="275"/>
    </row>
    <row r="246" spans="1:9" ht="15" thickBot="1" x14ac:dyDescent="0.4"/>
    <row r="247" spans="1:9" s="137" customFormat="1" ht="16" thickBot="1" x14ac:dyDescent="0.4">
      <c r="A247" s="260"/>
      <c r="D247" s="629" t="s">
        <v>226</v>
      </c>
      <c r="E247" s="630"/>
    </row>
    <row r="248" spans="1:9" s="137" customFormat="1" ht="15.5" x14ac:dyDescent="0.35">
      <c r="A248" s="260"/>
      <c r="D248" s="261" t="s">
        <v>173</v>
      </c>
      <c r="E248" s="262">
        <f>+B220</f>
        <v>6500000</v>
      </c>
    </row>
    <row r="249" spans="1:9" s="137" customFormat="1" ht="15.5" x14ac:dyDescent="0.35">
      <c r="A249" s="260"/>
      <c r="D249" s="263" t="s">
        <v>180</v>
      </c>
      <c r="E249" s="264">
        <f>+H220</f>
        <v>3078870.8054794525</v>
      </c>
    </row>
    <row r="250" spans="1:9" s="137" customFormat="1" ht="16" thickBot="1" x14ac:dyDescent="0.4">
      <c r="A250" s="260"/>
      <c r="D250" s="265"/>
      <c r="E250" s="266"/>
    </row>
    <row r="251" spans="1:9" s="137" customFormat="1" ht="16" thickBot="1" x14ac:dyDescent="0.4">
      <c r="A251" s="260"/>
      <c r="D251" s="267" t="s">
        <v>174</v>
      </c>
      <c r="E251" s="158">
        <f>SUM(E248:E250)</f>
        <v>9578870.805479452</v>
      </c>
    </row>
    <row r="252" spans="1:9" s="137" customFormat="1" ht="15.5" x14ac:dyDescent="0.35">
      <c r="A252" s="260"/>
      <c r="D252" s="261"/>
      <c r="E252" s="268"/>
    </row>
    <row r="253" spans="1:9" s="137" customFormat="1" ht="15.5" x14ac:dyDescent="0.35">
      <c r="A253" s="260"/>
      <c r="D253" s="263" t="s">
        <v>139</v>
      </c>
      <c r="E253" s="264">
        <f>+B240</f>
        <v>8000000</v>
      </c>
    </row>
    <row r="254" spans="1:9" s="137" customFormat="1" ht="15.5" x14ac:dyDescent="0.35">
      <c r="A254" s="260"/>
      <c r="D254" s="263" t="s">
        <v>179</v>
      </c>
      <c r="E254" s="264">
        <f>+H240</f>
        <v>1547112.8219178081</v>
      </c>
      <c r="G254" s="269"/>
    </row>
    <row r="255" spans="1:9" s="137" customFormat="1" ht="16" thickBot="1" x14ac:dyDescent="0.4">
      <c r="A255" s="260"/>
      <c r="D255" s="265"/>
      <c r="E255" s="266"/>
      <c r="G255" s="269"/>
    </row>
    <row r="256" spans="1:9" s="137" customFormat="1" ht="16" thickBot="1" x14ac:dyDescent="0.4">
      <c r="A256" s="260"/>
      <c r="D256" s="267" t="s">
        <v>175</v>
      </c>
      <c r="E256" s="158">
        <f>+E253+E254</f>
        <v>9547112.8219178077</v>
      </c>
    </row>
    <row r="257" spans="1:9" s="137" customFormat="1" ht="16" thickBot="1" x14ac:dyDescent="0.4">
      <c r="A257" s="260"/>
      <c r="D257" s="270"/>
      <c r="E257" s="271"/>
      <c r="F257" s="269"/>
    </row>
    <row r="258" spans="1:9" s="137" customFormat="1" ht="16" thickBot="1" x14ac:dyDescent="0.4">
      <c r="A258" s="260"/>
      <c r="D258" s="267" t="s">
        <v>176</v>
      </c>
      <c r="E258" s="272">
        <f>+E251-E256</f>
        <v>31757.983561644331</v>
      </c>
    </row>
    <row r="260" spans="1:9" x14ac:dyDescent="0.35">
      <c r="D260" s="9" t="s">
        <v>177</v>
      </c>
      <c r="E260" s="9"/>
    </row>
    <row r="261" spans="1:9" x14ac:dyDescent="0.35">
      <c r="E261" s="14"/>
    </row>
    <row r="262" spans="1:9" x14ac:dyDescent="0.35">
      <c r="D262" s="241" t="s">
        <v>178</v>
      </c>
      <c r="E262" s="240"/>
    </row>
    <row r="263" spans="1:9" ht="14.4" x14ac:dyDescent="0.3">
      <c r="A263" s="6" t="s">
        <v>312</v>
      </c>
    </row>
    <row r="268" spans="1:9" ht="19" thickBot="1" x14ac:dyDescent="0.5">
      <c r="A268" s="653"/>
      <c r="B268" s="653"/>
      <c r="C268" s="653"/>
      <c r="D268" s="653"/>
      <c r="E268" s="653"/>
      <c r="F268" s="653"/>
      <c r="G268" s="653"/>
      <c r="H268" s="653"/>
      <c r="I268" s="653"/>
    </row>
    <row r="269" spans="1:9" ht="19" thickBot="1" x14ac:dyDescent="0.5">
      <c r="A269" s="511" t="s">
        <v>314</v>
      </c>
      <c r="B269" s="512"/>
      <c r="C269" s="512"/>
      <c r="D269" s="512"/>
      <c r="E269" s="512"/>
      <c r="F269" s="512"/>
      <c r="G269" s="512"/>
      <c r="H269" s="512"/>
      <c r="I269" s="513"/>
    </row>
    <row r="270" spans="1:9" ht="19" thickBot="1" x14ac:dyDescent="0.5">
      <c r="A270" s="663" t="s">
        <v>124</v>
      </c>
      <c r="B270" s="664"/>
      <c r="C270" s="664"/>
      <c r="D270" s="664"/>
      <c r="E270" s="664"/>
      <c r="F270" s="664"/>
      <c r="G270" s="664"/>
      <c r="H270" s="664"/>
      <c r="I270" s="665"/>
    </row>
    <row r="271" spans="1:9" x14ac:dyDescent="0.35">
      <c r="A271" s="216" t="s">
        <v>1</v>
      </c>
      <c r="B271" s="217" t="s">
        <v>7</v>
      </c>
      <c r="C271" s="217" t="s">
        <v>156</v>
      </c>
      <c r="D271" s="217" t="s">
        <v>2</v>
      </c>
      <c r="E271" s="217" t="s">
        <v>3</v>
      </c>
      <c r="F271" s="217" t="s">
        <v>4</v>
      </c>
      <c r="G271" s="217" t="s">
        <v>24</v>
      </c>
      <c r="H271" s="217" t="s">
        <v>6</v>
      </c>
      <c r="I271" s="218" t="s">
        <v>25</v>
      </c>
    </row>
    <row r="272" spans="1:9" ht="14.4" x14ac:dyDescent="0.3">
      <c r="A272" s="83"/>
      <c r="B272" s="12" t="s">
        <v>153</v>
      </c>
      <c r="C272" s="12"/>
      <c r="D272" s="15"/>
      <c r="E272" s="15"/>
      <c r="F272" s="15"/>
      <c r="G272" s="15"/>
      <c r="H272" s="15"/>
      <c r="I272" s="224"/>
    </row>
    <row r="273" spans="1:11" ht="14.4" x14ac:dyDescent="0.3">
      <c r="A273" s="83"/>
      <c r="B273" s="15"/>
      <c r="C273" s="15"/>
      <c r="D273" s="15"/>
      <c r="E273" s="15"/>
      <c r="F273" s="56"/>
      <c r="G273" s="15"/>
      <c r="H273" s="15"/>
      <c r="I273" s="224"/>
    </row>
    <row r="274" spans="1:11" ht="14.4" x14ac:dyDescent="0.3">
      <c r="A274" s="85" t="s">
        <v>313</v>
      </c>
      <c r="B274" s="15">
        <v>5000000</v>
      </c>
      <c r="C274" s="15" t="s">
        <v>158</v>
      </c>
      <c r="D274" s="17">
        <v>45182</v>
      </c>
      <c r="E274" s="17">
        <v>45252</v>
      </c>
      <c r="F274" s="56">
        <f>+E274-D274</f>
        <v>70</v>
      </c>
      <c r="G274" s="221">
        <v>0.18</v>
      </c>
      <c r="H274" s="54">
        <f>B274*F274*G274/365</f>
        <v>172602.73972602739</v>
      </c>
      <c r="I274" s="222">
        <f>+B274+H274</f>
        <v>5172602.7397260275</v>
      </c>
    </row>
    <row r="275" spans="1:11" ht="14.4" x14ac:dyDescent="0.3">
      <c r="A275" s="119"/>
      <c r="B275" s="233"/>
      <c r="C275" s="233"/>
      <c r="D275" s="140"/>
      <c r="E275" s="140"/>
      <c r="F275" s="142"/>
      <c r="G275" s="258"/>
      <c r="H275" s="232"/>
      <c r="I275" s="281"/>
    </row>
    <row r="276" spans="1:11" ht="14.4" x14ac:dyDescent="0.3">
      <c r="A276" s="85" t="s">
        <v>295</v>
      </c>
      <c r="B276" s="15">
        <v>2000000</v>
      </c>
      <c r="C276" s="15" t="s">
        <v>158</v>
      </c>
      <c r="D276" s="17">
        <v>45225</v>
      </c>
      <c r="E276" s="17">
        <v>45252</v>
      </c>
      <c r="F276" s="56">
        <f>+E276-D276</f>
        <v>27</v>
      </c>
      <c r="G276" s="221">
        <v>0.18</v>
      </c>
      <c r="H276" s="54">
        <f>B276*F276*G276/365</f>
        <v>26630.136986301372</v>
      </c>
      <c r="I276" s="222">
        <f>+B276+H276</f>
        <v>2026630.1369863013</v>
      </c>
      <c r="K276" s="14"/>
    </row>
    <row r="277" spans="1:11" x14ac:dyDescent="0.35">
      <c r="A277" s="119"/>
      <c r="B277" s="232"/>
      <c r="C277" s="232"/>
      <c r="D277" s="140"/>
      <c r="E277" s="140"/>
      <c r="F277" s="142"/>
      <c r="G277" s="258"/>
      <c r="H277" s="232"/>
      <c r="I277" s="259"/>
      <c r="K277" s="14"/>
    </row>
    <row r="278" spans="1:11" ht="15" thickBot="1" x14ac:dyDescent="0.4">
      <c r="A278" s="119"/>
      <c r="B278" s="174"/>
      <c r="C278" s="174"/>
      <c r="D278" s="141"/>
      <c r="E278" s="141"/>
      <c r="F278" s="142"/>
      <c r="G278" s="143"/>
      <c r="H278" s="144"/>
      <c r="I278" s="210"/>
    </row>
    <row r="279" spans="1:11" ht="16" thickBot="1" x14ac:dyDescent="0.4">
      <c r="A279" s="276"/>
      <c r="B279" s="277">
        <f>SUM(B273:B278)</f>
        <v>7000000</v>
      </c>
      <c r="C279" s="277"/>
      <c r="D279" s="154"/>
      <c r="E279" s="154"/>
      <c r="F279" s="278"/>
      <c r="G279" s="279"/>
      <c r="H279" s="277">
        <f>SUM(H273:H278)</f>
        <v>199232.87671232875</v>
      </c>
      <c r="I279" s="280"/>
    </row>
    <row r="280" spans="1:11" ht="15" thickBot="1" x14ac:dyDescent="0.4">
      <c r="A280" s="206"/>
      <c r="B280" s="207"/>
      <c r="C280" s="207"/>
      <c r="D280" s="207"/>
      <c r="E280" s="207"/>
      <c r="F280" s="207"/>
      <c r="G280" s="207"/>
      <c r="H280" s="208"/>
      <c r="I280" s="209"/>
    </row>
    <row r="281" spans="1:11" ht="19" thickBot="1" x14ac:dyDescent="0.5">
      <c r="A281" s="666" t="s">
        <v>123</v>
      </c>
      <c r="B281" s="667"/>
      <c r="C281" s="667"/>
      <c r="D281" s="667"/>
      <c r="E281" s="667"/>
      <c r="F281" s="667"/>
      <c r="G281" s="667"/>
      <c r="H281" s="667"/>
      <c r="I281" s="668"/>
    </row>
    <row r="282" spans="1:11" x14ac:dyDescent="0.35">
      <c r="A282" s="216" t="s">
        <v>1</v>
      </c>
      <c r="B282" s="217" t="s">
        <v>7</v>
      </c>
      <c r="C282" s="217"/>
      <c r="D282" s="217" t="s">
        <v>2</v>
      </c>
      <c r="E282" s="217" t="s">
        <v>3</v>
      </c>
      <c r="F282" s="217" t="s">
        <v>4</v>
      </c>
      <c r="G282" s="217" t="s">
        <v>24</v>
      </c>
      <c r="H282" s="217" t="s">
        <v>6</v>
      </c>
      <c r="I282" s="218" t="s">
        <v>25</v>
      </c>
    </row>
    <row r="283" spans="1:11" ht="14.4" x14ac:dyDescent="0.3">
      <c r="A283" s="83"/>
      <c r="B283" s="12" t="s">
        <v>139</v>
      </c>
      <c r="C283" s="12"/>
      <c r="D283" s="1"/>
      <c r="E283" s="1"/>
      <c r="F283" s="1"/>
      <c r="G283" s="1"/>
      <c r="H283" s="1"/>
      <c r="I283" s="84"/>
    </row>
    <row r="284" spans="1:11" ht="14.4" x14ac:dyDescent="0.3">
      <c r="A284" s="85"/>
      <c r="B284" s="15"/>
      <c r="C284" s="15"/>
      <c r="D284" s="17"/>
      <c r="E284" s="17"/>
      <c r="F284" s="56"/>
      <c r="G284" s="221"/>
      <c r="H284" s="54"/>
      <c r="I284" s="223"/>
    </row>
    <row r="285" spans="1:11" ht="14.4" x14ac:dyDescent="0.3">
      <c r="A285" s="85" t="s">
        <v>298</v>
      </c>
      <c r="B285" s="15">
        <v>1600000</v>
      </c>
      <c r="C285" s="232" t="s">
        <v>158</v>
      </c>
      <c r="D285" s="17"/>
      <c r="E285" s="17"/>
      <c r="F285" s="56"/>
      <c r="G285" s="221"/>
      <c r="H285" s="54">
        <f t="shared" ref="H285:H290" si="20">B285*F285*G285/365</f>
        <v>0</v>
      </c>
      <c r="I285" s="222">
        <f>+B285+H285</f>
        <v>1600000</v>
      </c>
    </row>
    <row r="286" spans="1:11" ht="14.4" x14ac:dyDescent="0.3">
      <c r="A286" s="85" t="s">
        <v>299</v>
      </c>
      <c r="B286" s="54">
        <v>2500000</v>
      </c>
      <c r="C286" s="232" t="s">
        <v>158</v>
      </c>
      <c r="D286" s="17"/>
      <c r="E286" s="17"/>
      <c r="F286" s="56"/>
      <c r="G286" s="221"/>
      <c r="H286" s="54">
        <f t="shared" si="20"/>
        <v>0</v>
      </c>
      <c r="I286" s="222">
        <f t="shared" ref="I286:I290" si="21">+B286+H286</f>
        <v>2500000</v>
      </c>
    </row>
    <row r="287" spans="1:11" ht="14.4" x14ac:dyDescent="0.3">
      <c r="A287" s="85" t="s">
        <v>300</v>
      </c>
      <c r="B287" s="54">
        <v>500000</v>
      </c>
      <c r="C287" s="232" t="s">
        <v>158</v>
      </c>
      <c r="D287" s="17"/>
      <c r="E287" s="17"/>
      <c r="F287" s="56"/>
      <c r="G287" s="221"/>
      <c r="H287" s="54">
        <f t="shared" si="20"/>
        <v>0</v>
      </c>
      <c r="I287" s="222">
        <f t="shared" si="21"/>
        <v>500000</v>
      </c>
    </row>
    <row r="288" spans="1:11" ht="14.4" x14ac:dyDescent="0.3">
      <c r="A288" s="85" t="s">
        <v>301</v>
      </c>
      <c r="B288" s="54">
        <v>2000000</v>
      </c>
      <c r="C288" s="232" t="s">
        <v>158</v>
      </c>
      <c r="D288" s="17"/>
      <c r="E288" s="17"/>
      <c r="F288" s="56"/>
      <c r="G288" s="221"/>
      <c r="H288" s="54">
        <f t="shared" si="20"/>
        <v>0</v>
      </c>
      <c r="I288" s="222">
        <f t="shared" si="21"/>
        <v>2000000</v>
      </c>
    </row>
    <row r="289" spans="1:9" ht="14.4" x14ac:dyDescent="0.3">
      <c r="A289" s="85" t="s">
        <v>302</v>
      </c>
      <c r="B289" s="54">
        <v>420000</v>
      </c>
      <c r="C289" s="232" t="s">
        <v>158</v>
      </c>
      <c r="D289" s="17"/>
      <c r="E289" s="17"/>
      <c r="F289" s="56"/>
      <c r="G289" s="221"/>
      <c r="H289" s="54">
        <f t="shared" si="20"/>
        <v>0</v>
      </c>
      <c r="I289" s="222">
        <f t="shared" si="21"/>
        <v>420000</v>
      </c>
    </row>
    <row r="290" spans="1:9" ht="14.4" x14ac:dyDescent="0.3">
      <c r="A290" s="85" t="s">
        <v>303</v>
      </c>
      <c r="B290" s="54">
        <v>180000</v>
      </c>
      <c r="C290" s="232" t="s">
        <v>158</v>
      </c>
      <c r="D290" s="17"/>
      <c r="E290" s="17"/>
      <c r="F290" s="56"/>
      <c r="G290" s="221"/>
      <c r="H290" s="54">
        <f t="shared" si="20"/>
        <v>0</v>
      </c>
      <c r="I290" s="222">
        <f t="shared" si="21"/>
        <v>180000</v>
      </c>
    </row>
    <row r="291" spans="1:9" ht="14.4" x14ac:dyDescent="0.3">
      <c r="A291" s="85"/>
      <c r="B291" s="54"/>
      <c r="C291" s="54"/>
      <c r="D291" s="17"/>
      <c r="E291" s="17"/>
      <c r="F291" s="56"/>
      <c r="G291" s="221"/>
      <c r="H291" s="54"/>
      <c r="I291" s="222"/>
    </row>
    <row r="292" spans="1:9" ht="15" thickBot="1" x14ac:dyDescent="0.35">
      <c r="A292" s="119"/>
      <c r="B292" s="232"/>
      <c r="C292" s="232"/>
      <c r="D292" s="140"/>
      <c r="E292" s="140"/>
      <c r="F292" s="142"/>
      <c r="G292" s="258"/>
      <c r="H292" s="232"/>
      <c r="I292" s="281"/>
    </row>
    <row r="293" spans="1:9" ht="15" thickBot="1" x14ac:dyDescent="0.35">
      <c r="A293" s="211"/>
      <c r="B293" s="225">
        <f>SUM(B283:B292)</f>
        <v>7200000</v>
      </c>
      <c r="C293" s="225"/>
      <c r="D293" s="212"/>
      <c r="E293" s="212"/>
      <c r="F293" s="383"/>
      <c r="G293" s="214"/>
      <c r="H293" s="225">
        <f>+SUM(H284:H289)</f>
        <v>0</v>
      </c>
      <c r="I293" s="215"/>
    </row>
    <row r="294" spans="1:9" ht="14.4" x14ac:dyDescent="0.3">
      <c r="A294" s="382"/>
      <c r="B294" s="347"/>
      <c r="C294" s="347"/>
      <c r="D294" s="148"/>
      <c r="E294" s="148"/>
      <c r="F294" s="285"/>
      <c r="G294" s="150"/>
      <c r="H294" s="347"/>
      <c r="I294" s="151"/>
    </row>
    <row r="295" spans="1:9" ht="14.4" x14ac:dyDescent="0.3">
      <c r="A295" s="85"/>
      <c r="B295" s="514" t="s">
        <v>42</v>
      </c>
      <c r="C295" s="515"/>
      <c r="D295" s="515"/>
      <c r="E295" s="515"/>
      <c r="F295" s="515"/>
      <c r="G295" s="516"/>
      <c r="H295" s="40">
        <f>+H279-H293</f>
        <v>199232.87671232875</v>
      </c>
      <c r="I295" s="86"/>
    </row>
    <row r="296" spans="1:9" ht="15" thickBot="1" x14ac:dyDescent="0.35">
      <c r="A296" s="119"/>
      <c r="B296" s="588" t="s">
        <v>43</v>
      </c>
      <c r="C296" s="589"/>
      <c r="D296" s="589"/>
      <c r="E296" s="589"/>
      <c r="F296" s="589"/>
      <c r="G296" s="590"/>
      <c r="H296" s="230">
        <f>+B279-B293</f>
        <v>-200000</v>
      </c>
      <c r="I296" s="121"/>
    </row>
    <row r="297" spans="1:9" ht="16.25" thickBot="1" x14ac:dyDescent="0.35">
      <c r="A297" s="273"/>
      <c r="B297" s="669" t="s">
        <v>58</v>
      </c>
      <c r="C297" s="670"/>
      <c r="D297" s="670"/>
      <c r="E297" s="670"/>
      <c r="F297" s="670"/>
      <c r="G297" s="671"/>
      <c r="H297" s="274">
        <f>SUM(H295:H296)</f>
        <v>-767.12328767124563</v>
      </c>
      <c r="I297" s="275"/>
    </row>
    <row r="298" spans="1:9" ht="14.4" x14ac:dyDescent="0.3"/>
    <row r="299" spans="1:9" ht="14.4" x14ac:dyDescent="0.3"/>
    <row r="303" spans="1:9" ht="15" thickBot="1" x14ac:dyDescent="0.4"/>
    <row r="304" spans="1:9" ht="19" thickBot="1" x14ac:dyDescent="0.5">
      <c r="A304" s="582" t="s">
        <v>336</v>
      </c>
      <c r="B304" s="583"/>
      <c r="C304" s="583"/>
      <c r="D304" s="583"/>
      <c r="E304" s="583"/>
      <c r="F304" s="583"/>
      <c r="G304" s="583"/>
      <c r="H304" s="583"/>
      <c r="I304" s="584"/>
    </row>
    <row r="305" spans="1:9" ht="19" thickBot="1" x14ac:dyDescent="0.5">
      <c r="A305" s="511" t="s">
        <v>162</v>
      </c>
      <c r="B305" s="512"/>
      <c r="C305" s="512"/>
      <c r="D305" s="512"/>
      <c r="E305" s="512"/>
      <c r="F305" s="512"/>
      <c r="G305" s="512"/>
      <c r="H305" s="512"/>
      <c r="I305" s="513"/>
    </row>
    <row r="306" spans="1:9" ht="19" thickBot="1" x14ac:dyDescent="0.5">
      <c r="A306" s="631" t="s">
        <v>124</v>
      </c>
      <c r="B306" s="632"/>
      <c r="C306" s="632"/>
      <c r="D306" s="632"/>
      <c r="E306" s="632"/>
      <c r="F306" s="632"/>
      <c r="G306" s="632"/>
      <c r="H306" s="632"/>
      <c r="I306" s="633"/>
    </row>
    <row r="307" spans="1:9" ht="15" thickBot="1" x14ac:dyDescent="0.4">
      <c r="A307" s="391" t="s">
        <v>1</v>
      </c>
      <c r="B307" s="392" t="s">
        <v>7</v>
      </c>
      <c r="C307" s="392" t="s">
        <v>156</v>
      </c>
      <c r="D307" s="392" t="s">
        <v>2</v>
      </c>
      <c r="E307" s="392" t="s">
        <v>3</v>
      </c>
      <c r="F307" s="392" t="s">
        <v>4</v>
      </c>
      <c r="G307" s="392" t="s">
        <v>24</v>
      </c>
      <c r="H307" s="392" t="s">
        <v>6</v>
      </c>
      <c r="I307" s="393" t="s">
        <v>25</v>
      </c>
    </row>
    <row r="308" spans="1:9" ht="15.5" x14ac:dyDescent="0.35">
      <c r="A308" s="309"/>
      <c r="B308" s="438" t="s">
        <v>153</v>
      </c>
      <c r="C308" s="310"/>
      <c r="D308" s="320"/>
      <c r="E308" s="320"/>
      <c r="F308" s="320"/>
      <c r="G308" s="320"/>
      <c r="H308" s="320"/>
      <c r="I308" s="321"/>
    </row>
    <row r="309" spans="1:9" x14ac:dyDescent="0.35">
      <c r="A309" s="85"/>
      <c r="B309" s="54"/>
      <c r="C309" s="54"/>
      <c r="D309" s="17"/>
      <c r="E309" s="17"/>
      <c r="F309" s="56"/>
      <c r="G309" s="221"/>
      <c r="H309" s="54"/>
      <c r="I309" s="223"/>
    </row>
    <row r="310" spans="1:9" x14ac:dyDescent="0.35">
      <c r="A310" s="85" t="s">
        <v>305</v>
      </c>
      <c r="B310" s="54">
        <v>2500000</v>
      </c>
      <c r="C310" s="54" t="s">
        <v>316</v>
      </c>
      <c r="D310" s="17">
        <v>45538</v>
      </c>
      <c r="E310" s="17">
        <v>45736</v>
      </c>
      <c r="F310" s="56">
        <f>+E310-D310</f>
        <v>198</v>
      </c>
      <c r="G310" s="221">
        <v>0.18</v>
      </c>
      <c r="H310" s="54">
        <f>B310*F310*G310/365</f>
        <v>244109.5890410959</v>
      </c>
      <c r="I310" s="223">
        <f>+B310+H310</f>
        <v>2744109.5890410957</v>
      </c>
    </row>
    <row r="311" spans="1:9" x14ac:dyDescent="0.35">
      <c r="A311" s="85"/>
      <c r="B311" s="54"/>
      <c r="C311" s="54"/>
      <c r="D311" s="17"/>
      <c r="E311" s="17"/>
      <c r="F311" s="56"/>
      <c r="G311" s="221"/>
      <c r="H311" s="54"/>
      <c r="I311" s="223"/>
    </row>
    <row r="312" spans="1:9" x14ac:dyDescent="0.35">
      <c r="A312" s="85" t="s">
        <v>306</v>
      </c>
      <c r="B312" s="54">
        <v>2000000</v>
      </c>
      <c r="C312" s="54" t="s">
        <v>316</v>
      </c>
      <c r="D312" s="17">
        <v>45539</v>
      </c>
      <c r="E312" s="17">
        <v>45736</v>
      </c>
      <c r="F312" s="56">
        <f>+E312-D312</f>
        <v>197</v>
      </c>
      <c r="G312" s="221">
        <v>0.18</v>
      </c>
      <c r="H312" s="54">
        <f>B312*F312*G312/365</f>
        <v>194301.36986301371</v>
      </c>
      <c r="I312" s="223">
        <f>+B312+H312</f>
        <v>2194301.3698630137</v>
      </c>
    </row>
    <row r="313" spans="1:9" x14ac:dyDescent="0.35">
      <c r="A313" s="85"/>
      <c r="B313" s="54"/>
      <c r="C313" s="54"/>
      <c r="D313" s="17"/>
      <c r="E313" s="17"/>
      <c r="F313" s="56"/>
      <c r="G313" s="221"/>
      <c r="H313" s="54"/>
      <c r="I313" s="223"/>
    </row>
    <row r="314" spans="1:9" x14ac:dyDescent="0.35">
      <c r="A314" s="85" t="s">
        <v>306</v>
      </c>
      <c r="B314" s="54">
        <v>5500000</v>
      </c>
      <c r="C314" s="54" t="s">
        <v>315</v>
      </c>
      <c r="D314" s="17">
        <v>45539</v>
      </c>
      <c r="E314" s="17">
        <v>45736</v>
      </c>
      <c r="F314" s="56">
        <f>+E314-D314</f>
        <v>197</v>
      </c>
      <c r="G314" s="221">
        <v>0.18</v>
      </c>
      <c r="H314" s="54">
        <f>B314*F314*G314/365</f>
        <v>534328.76712328766</v>
      </c>
      <c r="I314" s="223">
        <f>+B314+H314</f>
        <v>6034328.7671232875</v>
      </c>
    </row>
    <row r="315" spans="1:9" x14ac:dyDescent="0.35">
      <c r="A315" s="85"/>
      <c r="B315" s="54"/>
      <c r="C315" s="54"/>
      <c r="D315" s="17"/>
      <c r="E315" s="17"/>
      <c r="F315" s="56"/>
      <c r="G315" s="221"/>
      <c r="H315" s="54"/>
      <c r="I315" s="223"/>
    </row>
    <row r="316" spans="1:9" x14ac:dyDescent="0.35">
      <c r="A316" s="85" t="s">
        <v>296</v>
      </c>
      <c r="B316" s="54">
        <v>15000000</v>
      </c>
      <c r="C316" s="54" t="s">
        <v>158</v>
      </c>
      <c r="D316" s="17">
        <v>45591</v>
      </c>
      <c r="E316" s="17">
        <v>45736</v>
      </c>
      <c r="F316" s="56">
        <f>+E316-D316</f>
        <v>145</v>
      </c>
      <c r="G316" s="221">
        <v>0.18</v>
      </c>
      <c r="H316" s="54">
        <f>B316*F316*G316/365</f>
        <v>1072602.7397260275</v>
      </c>
      <c r="I316" s="223">
        <f>+B316+H316</f>
        <v>16072602.739726027</v>
      </c>
    </row>
    <row r="317" spans="1:9" x14ac:dyDescent="0.35">
      <c r="A317" s="85"/>
      <c r="B317" s="54"/>
      <c r="C317" s="54"/>
      <c r="D317" s="17"/>
      <c r="E317" s="17"/>
      <c r="F317" s="56"/>
      <c r="G317" s="221"/>
      <c r="H317" s="54"/>
      <c r="I317" s="223"/>
    </row>
    <row r="318" spans="1:9" x14ac:dyDescent="0.35">
      <c r="A318" s="85" t="s">
        <v>297</v>
      </c>
      <c r="B318" s="54">
        <v>1000000</v>
      </c>
      <c r="C318" s="54" t="s">
        <v>158</v>
      </c>
      <c r="D318" s="17">
        <v>45616</v>
      </c>
      <c r="E318" s="17">
        <v>45736</v>
      </c>
      <c r="F318" s="56">
        <f>+E318-D318</f>
        <v>120</v>
      </c>
      <c r="G318" s="221">
        <v>0.18</v>
      </c>
      <c r="H318" s="54">
        <f>B318*F318*G318/365</f>
        <v>59178.082191780821</v>
      </c>
      <c r="I318" s="223">
        <f>+B318+H318</f>
        <v>1059178.0821917809</v>
      </c>
    </row>
    <row r="319" spans="1:9" ht="15" thickBot="1" x14ac:dyDescent="0.4">
      <c r="A319" s="85"/>
      <c r="B319" s="232"/>
      <c r="C319" s="54"/>
      <c r="D319" s="17"/>
      <c r="E319" s="17"/>
      <c r="F319" s="56"/>
      <c r="G319" s="221"/>
      <c r="H319" s="54"/>
      <c r="I319" s="223"/>
    </row>
    <row r="320" spans="1:9" ht="15" thickBot="1" x14ac:dyDescent="0.4">
      <c r="A320" s="433"/>
      <c r="B320" s="435">
        <f>+SUM(B309:B319)</f>
        <v>26000000</v>
      </c>
      <c r="C320" s="434"/>
      <c r="D320" s="394"/>
      <c r="E320" s="394"/>
      <c r="F320" s="395"/>
      <c r="G320" s="396"/>
      <c r="H320" s="324"/>
      <c r="I320" s="397"/>
    </row>
    <row r="321" spans="1:9" x14ac:dyDescent="0.35">
      <c r="A321" s="145"/>
      <c r="B321" s="634" t="s">
        <v>126</v>
      </c>
      <c r="C321" s="579"/>
      <c r="D321" s="579"/>
      <c r="E321" s="579"/>
      <c r="F321" s="579"/>
      <c r="G321" s="635"/>
      <c r="H321" s="347">
        <f>+SUM(H309:H320)</f>
        <v>2104520.5479452056</v>
      </c>
      <c r="I321" s="151"/>
    </row>
    <row r="322" spans="1:9" ht="15" thickBot="1" x14ac:dyDescent="0.4">
      <c r="A322" s="119"/>
      <c r="B322" s="588" t="s">
        <v>43</v>
      </c>
      <c r="C322" s="589"/>
      <c r="D322" s="589"/>
      <c r="E322" s="589"/>
      <c r="F322" s="589"/>
      <c r="G322" s="590"/>
      <c r="H322" s="230">
        <f>+B320</f>
        <v>26000000</v>
      </c>
      <c r="I322" s="121"/>
    </row>
    <row r="323" spans="1:9" s="425" customFormat="1" ht="19" thickBot="1" x14ac:dyDescent="0.5">
      <c r="A323" s="430"/>
      <c r="B323" s="626" t="s">
        <v>58</v>
      </c>
      <c r="C323" s="627"/>
      <c r="D323" s="627"/>
      <c r="E323" s="627"/>
      <c r="F323" s="627"/>
      <c r="G323" s="628"/>
      <c r="H323" s="431">
        <f>SUM(H321:H322)</f>
        <v>28104520.547945205</v>
      </c>
      <c r="I323" s="432"/>
    </row>
    <row r="324" spans="1:9" ht="16" thickBot="1" x14ac:dyDescent="0.4">
      <c r="A324" s="295"/>
      <c r="B324" s="636" t="s">
        <v>334</v>
      </c>
      <c r="C324" s="637"/>
      <c r="D324" s="637"/>
      <c r="E324" s="637"/>
      <c r="F324" s="637"/>
      <c r="G324" s="638"/>
      <c r="H324" s="277">
        <f>+H342</f>
        <v>25347479.452054795</v>
      </c>
      <c r="I324" s="424"/>
    </row>
    <row r="325" spans="1:9" s="429" customFormat="1" ht="21.5" thickBot="1" x14ac:dyDescent="0.55000000000000004">
      <c r="A325" s="426"/>
      <c r="B325" s="639" t="s">
        <v>335</v>
      </c>
      <c r="C325" s="640"/>
      <c r="D325" s="640"/>
      <c r="E325" s="640"/>
      <c r="F325" s="640"/>
      <c r="G325" s="641"/>
      <c r="H325" s="427">
        <f>+H323-H324</f>
        <v>2757041.0958904102</v>
      </c>
      <c r="I325" s="428"/>
    </row>
    <row r="326" spans="1:9" ht="15" thickBot="1" x14ac:dyDescent="0.4"/>
    <row r="327" spans="1:9" ht="19" thickBot="1" x14ac:dyDescent="0.5">
      <c r="A327" s="631" t="s">
        <v>123</v>
      </c>
      <c r="B327" s="632"/>
      <c r="C327" s="632"/>
      <c r="D327" s="632"/>
      <c r="E327" s="632"/>
      <c r="F327" s="632"/>
      <c r="G327" s="632"/>
      <c r="H327" s="632"/>
      <c r="I327" s="633"/>
    </row>
    <row r="328" spans="1:9" ht="15" thickBot="1" x14ac:dyDescent="0.4">
      <c r="A328" s="391" t="s">
        <v>1</v>
      </c>
      <c r="B328" s="392" t="s">
        <v>7</v>
      </c>
      <c r="C328" s="392" t="s">
        <v>156</v>
      </c>
      <c r="D328" s="392" t="s">
        <v>2</v>
      </c>
      <c r="E328" s="392" t="s">
        <v>3</v>
      </c>
      <c r="F328" s="392" t="s">
        <v>4</v>
      </c>
      <c r="G328" s="392" t="s">
        <v>24</v>
      </c>
      <c r="H328" s="392" t="s">
        <v>6</v>
      </c>
      <c r="I328" s="393" t="s">
        <v>25</v>
      </c>
    </row>
    <row r="329" spans="1:9" ht="15.5" x14ac:dyDescent="0.35">
      <c r="A329" s="309"/>
      <c r="B329" s="438" t="s">
        <v>139</v>
      </c>
      <c r="C329" s="310"/>
      <c r="D329" s="320"/>
      <c r="E329" s="320"/>
      <c r="F329" s="320"/>
      <c r="G329" s="320"/>
      <c r="H329" s="320"/>
      <c r="I329" s="321"/>
    </row>
    <row r="330" spans="1:9" x14ac:dyDescent="0.35">
      <c r="A330" s="85"/>
      <c r="B330" s="54"/>
      <c r="C330" s="54"/>
      <c r="D330" s="17"/>
      <c r="E330" s="17"/>
      <c r="F330" s="56"/>
      <c r="G330" s="221"/>
      <c r="H330" s="54"/>
      <c r="I330" s="223"/>
    </row>
    <row r="331" spans="1:9" x14ac:dyDescent="0.35">
      <c r="A331" s="85" t="s">
        <v>331</v>
      </c>
      <c r="B331" s="54">
        <v>10000000</v>
      </c>
      <c r="C331" s="54" t="s">
        <v>158</v>
      </c>
      <c r="D331" s="17">
        <v>45650</v>
      </c>
      <c r="E331" s="17">
        <v>45736</v>
      </c>
      <c r="F331" s="56">
        <f>+E331-D331</f>
        <v>86</v>
      </c>
      <c r="G331" s="221">
        <v>0.18</v>
      </c>
      <c r="H331" s="54">
        <f>B331*F331*G331/365</f>
        <v>424109.58904109587</v>
      </c>
      <c r="I331" s="223">
        <f>+B331+H331</f>
        <v>10424109.589041095</v>
      </c>
    </row>
    <row r="332" spans="1:9" x14ac:dyDescent="0.35">
      <c r="A332" s="85"/>
      <c r="B332" s="54"/>
      <c r="C332" s="54"/>
      <c r="D332" s="17"/>
      <c r="E332" s="17"/>
      <c r="F332" s="56"/>
      <c r="G332" s="221"/>
      <c r="H332" s="54"/>
      <c r="I332" s="223"/>
    </row>
    <row r="333" spans="1:9" x14ac:dyDescent="0.35">
      <c r="A333" s="85" t="s">
        <v>333</v>
      </c>
      <c r="B333" s="54">
        <v>5500000</v>
      </c>
      <c r="C333" s="54" t="s">
        <v>315</v>
      </c>
      <c r="D333" s="17">
        <v>45656</v>
      </c>
      <c r="E333" s="17">
        <v>45736</v>
      </c>
      <c r="F333" s="56">
        <f>+E333-D333</f>
        <v>80</v>
      </c>
      <c r="G333" s="221">
        <v>0.18</v>
      </c>
      <c r="H333" s="54">
        <f>B333*F333*G333/365</f>
        <v>216986.30136986301</v>
      </c>
      <c r="I333" s="223">
        <f>+B333+H333</f>
        <v>5716986.3013698626</v>
      </c>
    </row>
    <row r="334" spans="1:9" x14ac:dyDescent="0.35">
      <c r="A334" s="85"/>
      <c r="B334" s="54"/>
      <c r="C334" s="54"/>
      <c r="D334" s="17"/>
      <c r="E334" s="17"/>
      <c r="F334" s="56"/>
      <c r="G334" s="221"/>
      <c r="H334" s="54"/>
      <c r="I334" s="223"/>
    </row>
    <row r="335" spans="1:9" x14ac:dyDescent="0.35">
      <c r="A335" s="85" t="s">
        <v>333</v>
      </c>
      <c r="B335" s="54">
        <v>4500000</v>
      </c>
      <c r="C335" s="54" t="s">
        <v>316</v>
      </c>
      <c r="D335" s="17">
        <v>45656</v>
      </c>
      <c r="E335" s="17">
        <v>45736</v>
      </c>
      <c r="F335" s="56">
        <f>+E335-D335</f>
        <v>80</v>
      </c>
      <c r="G335" s="221">
        <v>0.18</v>
      </c>
      <c r="H335" s="54">
        <f>B335*F335*G335/365</f>
        <v>177534.24657534246</v>
      </c>
      <c r="I335" s="223">
        <f>+B335+H335</f>
        <v>4677534.2465753425</v>
      </c>
    </row>
    <row r="336" spans="1:9" x14ac:dyDescent="0.35">
      <c r="A336" s="85"/>
      <c r="B336" s="54"/>
      <c r="C336" s="54"/>
      <c r="D336" s="17"/>
      <c r="E336" s="17"/>
      <c r="F336" s="56"/>
      <c r="G336" s="221"/>
      <c r="H336" s="54"/>
      <c r="I336" s="223"/>
    </row>
    <row r="337" spans="1:9" x14ac:dyDescent="0.35">
      <c r="A337" s="85" t="s">
        <v>332</v>
      </c>
      <c r="B337" s="54">
        <v>4500000</v>
      </c>
      <c r="C337" s="54" t="s">
        <v>158</v>
      </c>
      <c r="D337" s="17">
        <v>45723</v>
      </c>
      <c r="E337" s="17">
        <v>45736</v>
      </c>
      <c r="F337" s="56">
        <f>+E337-D337</f>
        <v>13</v>
      </c>
      <c r="G337" s="221">
        <v>0.18</v>
      </c>
      <c r="H337" s="54">
        <f>B337*F337*G337/365</f>
        <v>28849.31506849315</v>
      </c>
      <c r="I337" s="223">
        <f>+B337+H337</f>
        <v>4528849.3150684936</v>
      </c>
    </row>
    <row r="338" spans="1:9" ht="15" thickBot="1" x14ac:dyDescent="0.4">
      <c r="A338" s="85"/>
      <c r="B338" s="174"/>
      <c r="C338" s="1"/>
      <c r="D338" s="2"/>
      <c r="E338" s="2"/>
      <c r="F338" s="56"/>
      <c r="G338" s="4"/>
      <c r="H338" s="5"/>
      <c r="I338" s="88"/>
    </row>
    <row r="339" spans="1:9" ht="15" thickBot="1" x14ac:dyDescent="0.4">
      <c r="A339" s="433"/>
      <c r="B339" s="435">
        <f>+SUM(B330:B338)</f>
        <v>24500000</v>
      </c>
      <c r="C339" s="434"/>
      <c r="D339" s="394"/>
      <c r="E339" s="394"/>
      <c r="F339" s="395"/>
      <c r="G339" s="396"/>
      <c r="H339" s="324"/>
      <c r="I339" s="397"/>
    </row>
    <row r="340" spans="1:9" x14ac:dyDescent="0.35">
      <c r="A340" s="145"/>
      <c r="B340" s="634" t="s">
        <v>126</v>
      </c>
      <c r="C340" s="579"/>
      <c r="D340" s="579"/>
      <c r="E340" s="579"/>
      <c r="F340" s="579"/>
      <c r="G340" s="635"/>
      <c r="H340" s="347">
        <f>+SUM(H330:H339)</f>
        <v>847479.45205479453</v>
      </c>
      <c r="I340" s="151"/>
    </row>
    <row r="341" spans="1:9" ht="15" thickBot="1" x14ac:dyDescent="0.4">
      <c r="A341" s="119"/>
      <c r="B341" s="588" t="s">
        <v>43</v>
      </c>
      <c r="C341" s="589"/>
      <c r="D341" s="589"/>
      <c r="E341" s="589"/>
      <c r="F341" s="589"/>
      <c r="G341" s="590"/>
      <c r="H341" s="230">
        <f>+B339</f>
        <v>24500000</v>
      </c>
      <c r="I341" s="121"/>
    </row>
    <row r="342" spans="1:9" s="425" customFormat="1" ht="19" thickBot="1" x14ac:dyDescent="0.5">
      <c r="A342" s="430"/>
      <c r="B342" s="626" t="s">
        <v>334</v>
      </c>
      <c r="C342" s="627"/>
      <c r="D342" s="627"/>
      <c r="E342" s="627"/>
      <c r="F342" s="627"/>
      <c r="G342" s="628"/>
      <c r="H342" s="431">
        <f>SUM(H340:H341)</f>
        <v>25347479.452054795</v>
      </c>
      <c r="I342" s="432"/>
    </row>
    <row r="344" spans="1:9" ht="19" thickBot="1" x14ac:dyDescent="0.5">
      <c r="D344" s="642" t="s">
        <v>15</v>
      </c>
      <c r="E344" s="642"/>
    </row>
    <row r="345" spans="1:9" ht="16" thickBot="1" x14ac:dyDescent="0.4">
      <c r="A345" s="260"/>
      <c r="B345" s="137"/>
      <c r="C345" s="137"/>
      <c r="D345" s="629" t="s">
        <v>304</v>
      </c>
      <c r="E345" s="630"/>
      <c r="F345" s="137"/>
      <c r="G345" s="137"/>
      <c r="H345" s="137"/>
      <c r="I345" s="137"/>
    </row>
    <row r="346" spans="1:9" ht="15.5" x14ac:dyDescent="0.35">
      <c r="A346" s="260"/>
      <c r="B346" s="137"/>
      <c r="C346" s="137"/>
      <c r="D346" s="261" t="s">
        <v>173</v>
      </c>
      <c r="E346" s="262">
        <f>+B320</f>
        <v>26000000</v>
      </c>
      <c r="F346" s="137"/>
      <c r="G346" s="137"/>
      <c r="H346" s="137"/>
      <c r="I346" s="137"/>
    </row>
    <row r="347" spans="1:9" ht="15.5" x14ac:dyDescent="0.35">
      <c r="A347" s="260"/>
      <c r="B347" s="137"/>
      <c r="C347" s="137"/>
      <c r="D347" s="263" t="s">
        <v>180</v>
      </c>
      <c r="E347" s="264">
        <f>+H321</f>
        <v>2104520.5479452056</v>
      </c>
      <c r="F347" s="137"/>
      <c r="G347" s="269"/>
      <c r="H347" s="137"/>
      <c r="I347" s="137"/>
    </row>
    <row r="348" spans="1:9" ht="16" thickBot="1" x14ac:dyDescent="0.4">
      <c r="A348" s="260"/>
      <c r="B348" s="137"/>
      <c r="C348" s="137"/>
      <c r="D348" s="265"/>
      <c r="E348" s="266"/>
      <c r="F348" s="137"/>
      <c r="G348" s="137"/>
      <c r="H348" s="137"/>
      <c r="I348" s="137"/>
    </row>
    <row r="349" spans="1:9" ht="16" thickBot="1" x14ac:dyDescent="0.4">
      <c r="A349" s="260"/>
      <c r="B349" s="137"/>
      <c r="C349" s="137"/>
      <c r="D349" s="267" t="s">
        <v>174</v>
      </c>
      <c r="E349" s="158">
        <f>SUM(E346:E348)</f>
        <v>28104520.547945205</v>
      </c>
      <c r="F349" s="137"/>
      <c r="G349" s="137"/>
      <c r="H349" s="137"/>
      <c r="I349" s="137"/>
    </row>
    <row r="350" spans="1:9" ht="15.5" x14ac:dyDescent="0.35">
      <c r="A350" s="260"/>
      <c r="B350" s="137"/>
      <c r="C350" s="137"/>
      <c r="D350" s="261"/>
      <c r="E350" s="268"/>
      <c r="F350" s="137"/>
      <c r="G350" s="137"/>
      <c r="H350" s="137"/>
      <c r="I350" s="137"/>
    </row>
    <row r="351" spans="1:9" ht="15.5" x14ac:dyDescent="0.35">
      <c r="A351" s="260"/>
      <c r="B351" s="137"/>
      <c r="C351" s="137"/>
      <c r="D351" s="263" t="s">
        <v>139</v>
      </c>
      <c r="E351" s="264">
        <f>+B339</f>
        <v>24500000</v>
      </c>
      <c r="F351" s="137"/>
      <c r="G351" s="137"/>
      <c r="H351" s="137"/>
      <c r="I351" s="137"/>
    </row>
    <row r="352" spans="1:9" ht="15.5" x14ac:dyDescent="0.35">
      <c r="A352" s="260"/>
      <c r="B352" s="137"/>
      <c r="C352" s="137"/>
      <c r="D352" s="263" t="s">
        <v>179</v>
      </c>
      <c r="E352" s="264">
        <f>+H340</f>
        <v>847479.45205479453</v>
      </c>
      <c r="F352" s="137"/>
      <c r="G352" s="269"/>
      <c r="H352" s="137"/>
      <c r="I352" s="137"/>
    </row>
    <row r="353" spans="1:9" ht="16" thickBot="1" x14ac:dyDescent="0.4">
      <c r="A353" s="260"/>
      <c r="B353" s="137"/>
      <c r="C353" s="137"/>
      <c r="D353" s="265"/>
      <c r="E353" s="266"/>
      <c r="F353" s="137"/>
      <c r="G353" s="269"/>
      <c r="H353" s="137"/>
      <c r="I353" s="137"/>
    </row>
    <row r="354" spans="1:9" ht="16" thickBot="1" x14ac:dyDescent="0.4">
      <c r="A354" s="260"/>
      <c r="B354" s="137"/>
      <c r="C354" s="137"/>
      <c r="D354" s="267" t="s">
        <v>175</v>
      </c>
      <c r="E354" s="158">
        <f>+E351+E352</f>
        <v>25347479.452054795</v>
      </c>
      <c r="F354" s="137"/>
      <c r="G354" s="137"/>
      <c r="H354" s="137"/>
      <c r="I354" s="137"/>
    </row>
    <row r="355" spans="1:9" ht="16" thickBot="1" x14ac:dyDescent="0.4">
      <c r="A355" s="260"/>
      <c r="B355" s="137"/>
      <c r="C355" s="137"/>
      <c r="D355" s="270"/>
      <c r="E355" s="271"/>
      <c r="F355" s="269"/>
      <c r="G355" s="137"/>
      <c r="H355" s="137"/>
      <c r="I355" s="137"/>
    </row>
    <row r="356" spans="1:9" ht="21.5" thickBot="1" x14ac:dyDescent="0.55000000000000004">
      <c r="A356" s="260"/>
      <c r="B356" s="137"/>
      <c r="C356" s="137"/>
      <c r="D356" s="436" t="s">
        <v>176</v>
      </c>
      <c r="E356" s="437">
        <f>+E349-E354</f>
        <v>2757041.0958904102</v>
      </c>
      <c r="F356" s="137"/>
      <c r="G356" s="137"/>
      <c r="H356" s="137"/>
      <c r="I356" s="137"/>
    </row>
    <row r="358" spans="1:9" x14ac:dyDescent="0.35">
      <c r="D358" s="9" t="s">
        <v>177</v>
      </c>
      <c r="E358" s="9"/>
    </row>
    <row r="359" spans="1:9" x14ac:dyDescent="0.35">
      <c r="E359" s="14"/>
    </row>
    <row r="360" spans="1:9" x14ac:dyDescent="0.35">
      <c r="D360" s="241" t="s">
        <v>178</v>
      </c>
      <c r="E360" s="240"/>
    </row>
  </sheetData>
  <mergeCells count="83">
    <mergeCell ref="B296:G296"/>
    <mergeCell ref="B297:G297"/>
    <mergeCell ref="A268:I268"/>
    <mergeCell ref="A269:I269"/>
    <mergeCell ref="A270:I270"/>
    <mergeCell ref="A281:I281"/>
    <mergeCell ref="B295:G295"/>
    <mergeCell ref="D247:E247"/>
    <mergeCell ref="A204:I204"/>
    <mergeCell ref="A222:I222"/>
    <mergeCell ref="B242:G242"/>
    <mergeCell ref="B243:G243"/>
    <mergeCell ref="B244:G244"/>
    <mergeCell ref="A202:I202"/>
    <mergeCell ref="A203:I203"/>
    <mergeCell ref="M89:Q89"/>
    <mergeCell ref="A172:I172"/>
    <mergeCell ref="A173:I173"/>
    <mergeCell ref="A145:I145"/>
    <mergeCell ref="A157:I157"/>
    <mergeCell ref="B166:G166"/>
    <mergeCell ref="B167:G167"/>
    <mergeCell ref="B168:G168"/>
    <mergeCell ref="A143:I143"/>
    <mergeCell ref="D183:E183"/>
    <mergeCell ref="L61:S61"/>
    <mergeCell ref="L62:S62"/>
    <mergeCell ref="L79:S79"/>
    <mergeCell ref="M87:Q87"/>
    <mergeCell ref="M88:Q88"/>
    <mergeCell ref="B37:D37"/>
    <mergeCell ref="F37:G37"/>
    <mergeCell ref="A144:I144"/>
    <mergeCell ref="B81:G81"/>
    <mergeCell ref="B82:G82"/>
    <mergeCell ref="A72:I72"/>
    <mergeCell ref="A62:I62"/>
    <mergeCell ref="A61:I61"/>
    <mergeCell ref="B80:G80"/>
    <mergeCell ref="A99:E99"/>
    <mergeCell ref="A98:E98"/>
    <mergeCell ref="A112:E112"/>
    <mergeCell ref="A125:E125"/>
    <mergeCell ref="A43:I43"/>
    <mergeCell ref="B56:G56"/>
    <mergeCell ref="B57:G57"/>
    <mergeCell ref="F36:G36"/>
    <mergeCell ref="A2:I2"/>
    <mergeCell ref="A4:I4"/>
    <mergeCell ref="D10:G10"/>
    <mergeCell ref="A12:I12"/>
    <mergeCell ref="D29:G29"/>
    <mergeCell ref="A31:G31"/>
    <mergeCell ref="B32:D32"/>
    <mergeCell ref="F32:G32"/>
    <mergeCell ref="F33:G33"/>
    <mergeCell ref="B34:D34"/>
    <mergeCell ref="F34:G34"/>
    <mergeCell ref="B33:D33"/>
    <mergeCell ref="B35:D35"/>
    <mergeCell ref="F35:G35"/>
    <mergeCell ref="B36:D36"/>
    <mergeCell ref="B58:G58"/>
    <mergeCell ref="B38:D38"/>
    <mergeCell ref="F38:G38"/>
    <mergeCell ref="B39:D39"/>
    <mergeCell ref="F39:G39"/>
    <mergeCell ref="B40:D40"/>
    <mergeCell ref="F40:G40"/>
    <mergeCell ref="B322:G322"/>
    <mergeCell ref="B323:G323"/>
    <mergeCell ref="D345:E345"/>
    <mergeCell ref="A304:I304"/>
    <mergeCell ref="A305:I305"/>
    <mergeCell ref="A306:I306"/>
    <mergeCell ref="B321:G321"/>
    <mergeCell ref="A327:I327"/>
    <mergeCell ref="B340:G340"/>
    <mergeCell ref="B341:G341"/>
    <mergeCell ref="B342:G342"/>
    <mergeCell ref="B324:G324"/>
    <mergeCell ref="B325:G325"/>
    <mergeCell ref="D344:E344"/>
  </mergeCells>
  <printOptions horizontalCentered="1"/>
  <pageMargins left="0.25" right="0.25" top="0.5" bottom="0.5" header="0.3" footer="0.3"/>
  <pageSetup scale="75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R155"/>
  <sheetViews>
    <sheetView topLeftCell="A149" workbookViewId="0">
      <selection activeCell="N146" sqref="N146"/>
    </sheetView>
  </sheetViews>
  <sheetFormatPr defaultRowHeight="14.5" x14ac:dyDescent="0.35"/>
  <cols>
    <col min="2" max="2" width="10.81640625" style="6" bestFit="1" customWidth="1"/>
    <col min="3" max="3" width="12.90625" style="6" customWidth="1"/>
    <col min="4" max="4" width="12" style="6" customWidth="1"/>
    <col min="5" max="5" width="10.90625" customWidth="1"/>
    <col min="6" max="6" width="10.54296875" bestFit="1" customWidth="1"/>
    <col min="7" max="7" width="9.6328125" customWidth="1"/>
    <col min="8" max="8" width="12.36328125" customWidth="1"/>
    <col min="9" max="9" width="12" style="6" bestFit="1" customWidth="1"/>
    <col min="10" max="10" width="12" style="6" customWidth="1"/>
    <col min="11" max="11" width="8.36328125" customWidth="1"/>
  </cols>
  <sheetData>
    <row r="1" spans="2:18" ht="14.4" x14ac:dyDescent="0.3">
      <c r="B1"/>
    </row>
    <row r="2" spans="2:18" ht="18" x14ac:dyDescent="0.35">
      <c r="B2" s="542" t="s">
        <v>93</v>
      </c>
      <c r="C2" s="542"/>
      <c r="D2" s="542"/>
      <c r="E2" s="542"/>
      <c r="F2" s="542"/>
      <c r="G2" s="542"/>
      <c r="H2" s="542"/>
      <c r="I2" s="542"/>
      <c r="K2" s="542" t="s">
        <v>138</v>
      </c>
      <c r="L2" s="542"/>
      <c r="M2" s="542"/>
      <c r="N2" s="542"/>
      <c r="O2" s="542"/>
      <c r="P2" s="542"/>
      <c r="Q2" s="542"/>
      <c r="R2" s="542"/>
    </row>
    <row r="3" spans="2:18" ht="14.4" x14ac:dyDescent="0.3">
      <c r="B3" s="557" t="s">
        <v>46</v>
      </c>
      <c r="C3" s="558"/>
      <c r="D3" s="558"/>
      <c r="E3" s="558"/>
      <c r="F3" s="558"/>
      <c r="G3" s="558"/>
      <c r="H3" s="558"/>
      <c r="I3" s="559"/>
      <c r="K3" s="557" t="s">
        <v>46</v>
      </c>
      <c r="L3" s="558"/>
      <c r="M3" s="558"/>
      <c r="N3" s="558"/>
      <c r="O3" s="558"/>
      <c r="P3" s="558"/>
      <c r="Q3" s="558"/>
      <c r="R3" s="559"/>
    </row>
    <row r="4" spans="2:18" s="43" customFormat="1" ht="28.75" x14ac:dyDescent="0.3">
      <c r="B4" s="41" t="s">
        <v>1</v>
      </c>
      <c r="C4" s="41" t="s">
        <v>7</v>
      </c>
      <c r="D4" s="41" t="s">
        <v>2</v>
      </c>
      <c r="E4" s="41" t="s">
        <v>3</v>
      </c>
      <c r="F4" s="41" t="s">
        <v>4</v>
      </c>
      <c r="G4" s="41" t="s">
        <v>24</v>
      </c>
      <c r="H4" s="41" t="s">
        <v>6</v>
      </c>
      <c r="I4" s="41" t="s">
        <v>33</v>
      </c>
      <c r="K4" s="41" t="s">
        <v>1</v>
      </c>
      <c r="L4" s="42" t="s">
        <v>7</v>
      </c>
      <c r="M4" s="41" t="s">
        <v>2</v>
      </c>
      <c r="N4" s="41" t="s">
        <v>3</v>
      </c>
      <c r="O4" s="41" t="s">
        <v>4</v>
      </c>
      <c r="P4" s="41" t="s">
        <v>24</v>
      </c>
      <c r="Q4" s="41" t="s">
        <v>6</v>
      </c>
      <c r="R4" s="41" t="s">
        <v>33</v>
      </c>
    </row>
    <row r="5" spans="2:18" ht="14.4" x14ac:dyDescent="0.3">
      <c r="B5" s="15"/>
      <c r="C5" s="12" t="s">
        <v>8</v>
      </c>
      <c r="D5" s="15"/>
      <c r="E5" s="1"/>
      <c r="F5" s="1"/>
      <c r="G5" s="1"/>
      <c r="H5" s="1"/>
      <c r="I5" s="15"/>
      <c r="K5" s="15"/>
      <c r="L5" s="21" t="s">
        <v>8</v>
      </c>
      <c r="M5" s="1"/>
      <c r="N5" s="1"/>
      <c r="O5" s="1"/>
      <c r="P5" s="1"/>
      <c r="Q5" s="1"/>
      <c r="R5" s="1"/>
    </row>
    <row r="6" spans="2:18" ht="14.4" x14ac:dyDescent="0.3">
      <c r="B6" s="2">
        <v>43014</v>
      </c>
      <c r="C6" s="54">
        <v>400000</v>
      </c>
      <c r="D6" s="17">
        <v>43014</v>
      </c>
      <c r="E6" s="2">
        <v>43379</v>
      </c>
      <c r="F6" s="54">
        <f t="shared" ref="F6:F10" si="0">+E6-D6</f>
        <v>365</v>
      </c>
      <c r="G6" s="45">
        <v>0.18</v>
      </c>
      <c r="H6" s="5">
        <f>C6*F6*G6/365</f>
        <v>72000</v>
      </c>
      <c r="I6" s="54">
        <f>+C6+H6</f>
        <v>472000</v>
      </c>
      <c r="J6" s="297"/>
      <c r="K6" s="2">
        <v>43171</v>
      </c>
      <c r="L6" s="23">
        <v>596300</v>
      </c>
      <c r="M6" s="2">
        <v>43171</v>
      </c>
      <c r="N6" s="2">
        <v>43535</v>
      </c>
      <c r="O6" s="54">
        <v>365</v>
      </c>
      <c r="P6" s="45">
        <v>0.18</v>
      </c>
      <c r="Q6" s="5">
        <f>L6*O6*P6/365</f>
        <v>107334</v>
      </c>
      <c r="R6" s="5">
        <f>+L6+Q6</f>
        <v>703634</v>
      </c>
    </row>
    <row r="7" spans="2:18" ht="14.4" x14ac:dyDescent="0.3">
      <c r="B7" s="40"/>
      <c r="C7" s="54">
        <f>+I6</f>
        <v>472000</v>
      </c>
      <c r="D7" s="17">
        <f>+E6</f>
        <v>43379</v>
      </c>
      <c r="E7" s="2">
        <v>43744</v>
      </c>
      <c r="F7" s="54">
        <f t="shared" si="0"/>
        <v>365</v>
      </c>
      <c r="G7" s="45">
        <v>0.18</v>
      </c>
      <c r="H7" s="5">
        <f>C7*F7*G7/365</f>
        <v>84960</v>
      </c>
      <c r="I7" s="54">
        <f>I6+H7</f>
        <v>556960</v>
      </c>
      <c r="J7" s="341"/>
      <c r="K7" s="40"/>
      <c r="L7" s="23">
        <f>+R6</f>
        <v>703634</v>
      </c>
      <c r="M7" s="2">
        <v>43536</v>
      </c>
      <c r="N7" s="2">
        <v>43901</v>
      </c>
      <c r="O7" s="54">
        <f t="shared" ref="O7:O8" si="1">+N7-M7</f>
        <v>365</v>
      </c>
      <c r="P7" s="45">
        <v>0.18</v>
      </c>
      <c r="Q7" s="5">
        <f>L7*O7*P7/365</f>
        <v>126654.12</v>
      </c>
      <c r="R7" s="5">
        <f>R6+Q7</f>
        <v>830288.12</v>
      </c>
    </row>
    <row r="8" spans="2:18" ht="14.4" x14ac:dyDescent="0.3">
      <c r="B8" s="40"/>
      <c r="C8" s="54">
        <f>+I7</f>
        <v>556960</v>
      </c>
      <c r="D8" s="17">
        <f>+E7</f>
        <v>43744</v>
      </c>
      <c r="E8" s="2">
        <v>43930</v>
      </c>
      <c r="F8" s="54">
        <f t="shared" si="0"/>
        <v>186</v>
      </c>
      <c r="G8" s="45">
        <v>0.18</v>
      </c>
      <c r="H8" s="5">
        <f>C8*F8*G8/365</f>
        <v>51087.728219178083</v>
      </c>
      <c r="I8" s="40">
        <f>I7+H8</f>
        <v>608047.72821917804</v>
      </c>
      <c r="J8" s="341"/>
      <c r="K8" s="40"/>
      <c r="L8" s="23">
        <f>+R7</f>
        <v>830288.12</v>
      </c>
      <c r="M8" s="2">
        <v>43902</v>
      </c>
      <c r="N8" s="2">
        <v>44266</v>
      </c>
      <c r="O8" s="54">
        <f t="shared" si="1"/>
        <v>364</v>
      </c>
      <c r="P8" s="45">
        <v>0.18</v>
      </c>
      <c r="Q8" s="5">
        <f>L8*O8*P8/365</f>
        <v>149042.40444493151</v>
      </c>
      <c r="R8" s="5">
        <f>R7+Q8</f>
        <v>979330.52444493154</v>
      </c>
    </row>
    <row r="9" spans="2:18" ht="14.4" x14ac:dyDescent="0.3">
      <c r="B9" s="40"/>
      <c r="C9" s="54"/>
      <c r="D9" s="17"/>
      <c r="E9" s="2"/>
      <c r="F9" s="54">
        <f t="shared" si="0"/>
        <v>0</v>
      </c>
      <c r="G9" s="45"/>
      <c r="H9" s="5"/>
      <c r="I9" s="54"/>
      <c r="J9" s="297"/>
      <c r="K9" s="40"/>
      <c r="L9" s="23">
        <f>+R8</f>
        <v>979330.52444493154</v>
      </c>
      <c r="M9" s="2">
        <v>44267</v>
      </c>
      <c r="N9" s="2">
        <v>44377</v>
      </c>
      <c r="O9" s="54">
        <f t="shared" ref="O9" si="2">+N9-M9</f>
        <v>110</v>
      </c>
      <c r="P9" s="45">
        <v>0.18</v>
      </c>
      <c r="Q9" s="5">
        <f>L9*O9*P9/365</f>
        <v>53125.327079478469</v>
      </c>
      <c r="R9" s="8">
        <f>R8+Q9</f>
        <v>1032455.85152441</v>
      </c>
    </row>
    <row r="10" spans="2:18" ht="14.4" x14ac:dyDescent="0.3">
      <c r="B10" s="40"/>
      <c r="C10" s="54"/>
      <c r="D10" s="17"/>
      <c r="E10" s="2"/>
      <c r="F10" s="54">
        <f t="shared" si="0"/>
        <v>0</v>
      </c>
      <c r="G10" s="45"/>
      <c r="H10" s="5"/>
      <c r="I10" s="40"/>
      <c r="J10" s="297"/>
      <c r="K10" s="40"/>
      <c r="L10" s="23"/>
      <c r="M10" s="2"/>
      <c r="N10" s="2"/>
      <c r="O10" s="54"/>
      <c r="P10" s="45"/>
      <c r="Q10" s="5"/>
      <c r="R10" s="8"/>
    </row>
    <row r="11" spans="2:18" ht="14.4" x14ac:dyDescent="0.3">
      <c r="B11" s="40"/>
      <c r="C11" s="560" t="s">
        <v>39</v>
      </c>
      <c r="D11" s="561"/>
      <c r="E11" s="561"/>
      <c r="F11" s="561"/>
      <c r="G11" s="562"/>
      <c r="H11" s="8">
        <f>SUM(H6:H10)</f>
        <v>208047.7282191781</v>
      </c>
      <c r="I11" s="54"/>
      <c r="J11" s="297"/>
      <c r="K11" s="40"/>
      <c r="L11" s="560" t="s">
        <v>39</v>
      </c>
      <c r="M11" s="561"/>
      <c r="N11" s="561"/>
      <c r="O11" s="561"/>
      <c r="P11" s="562"/>
      <c r="Q11" s="8">
        <f>SUM(Q6:Q10)</f>
        <v>436155.85152441001</v>
      </c>
      <c r="R11" s="5"/>
    </row>
    <row r="12" spans="2:18" ht="14.4" x14ac:dyDescent="0.3">
      <c r="B12" s="40"/>
      <c r="C12" s="560" t="s">
        <v>44</v>
      </c>
      <c r="D12" s="561"/>
      <c r="E12" s="561"/>
      <c r="F12" s="561"/>
      <c r="G12" s="562"/>
      <c r="H12" s="8">
        <f>+C6</f>
        <v>400000</v>
      </c>
      <c r="I12" s="54"/>
      <c r="J12" s="297"/>
      <c r="K12" s="40"/>
      <c r="L12" s="560" t="s">
        <v>44</v>
      </c>
      <c r="M12" s="561"/>
      <c r="N12" s="561"/>
      <c r="O12" s="561"/>
      <c r="P12" s="562"/>
      <c r="Q12" s="8">
        <f>+L6</f>
        <v>596300</v>
      </c>
      <c r="R12" s="5"/>
    </row>
    <row r="13" spans="2:18" ht="14.4" x14ac:dyDescent="0.3">
      <c r="B13" s="40"/>
      <c r="C13" s="560" t="s">
        <v>40</v>
      </c>
      <c r="D13" s="561"/>
      <c r="E13" s="561"/>
      <c r="F13" s="561"/>
      <c r="G13" s="562"/>
      <c r="H13" s="55">
        <f>SUM(H11:H12)</f>
        <v>608047.72821917804</v>
      </c>
      <c r="I13" s="54"/>
      <c r="J13" s="297"/>
      <c r="K13" s="40"/>
      <c r="L13" s="560" t="s">
        <v>40</v>
      </c>
      <c r="M13" s="561"/>
      <c r="N13" s="561"/>
      <c r="O13" s="561"/>
      <c r="P13" s="562"/>
      <c r="Q13" s="55">
        <f>SUM(Q11:Q12)</f>
        <v>1032455.8515244101</v>
      </c>
      <c r="R13" s="5"/>
    </row>
    <row r="14" spans="2:18" ht="14.4" x14ac:dyDescent="0.3">
      <c r="B14" s="40"/>
      <c r="C14" s="54"/>
      <c r="D14" s="17"/>
      <c r="E14" s="2"/>
      <c r="F14" s="19"/>
      <c r="G14" s="45"/>
      <c r="H14" s="8"/>
      <c r="I14" s="54"/>
      <c r="J14" s="297"/>
      <c r="K14" s="14"/>
    </row>
    <row r="15" spans="2:18" ht="14.4" x14ac:dyDescent="0.3">
      <c r="B15" s="40"/>
      <c r="C15" s="54"/>
      <c r="D15" s="17"/>
      <c r="E15" s="2"/>
      <c r="F15" s="19"/>
      <c r="G15" s="45"/>
      <c r="H15" s="8"/>
      <c r="I15" s="54"/>
      <c r="J15" s="297"/>
    </row>
    <row r="16" spans="2:18" ht="14.4" x14ac:dyDescent="0.3">
      <c r="B16" s="557" t="s">
        <v>45</v>
      </c>
      <c r="C16" s="558"/>
      <c r="D16" s="558"/>
      <c r="E16" s="558"/>
      <c r="F16" s="558"/>
      <c r="G16" s="558"/>
      <c r="H16" s="558"/>
      <c r="I16" s="559"/>
      <c r="J16" s="297"/>
    </row>
    <row r="17" spans="2:10" s="43" customFormat="1" ht="28.75" x14ac:dyDescent="0.3">
      <c r="B17" s="41" t="s">
        <v>1</v>
      </c>
      <c r="C17" s="41" t="s">
        <v>7</v>
      </c>
      <c r="D17" s="41" t="s">
        <v>2</v>
      </c>
      <c r="E17" s="41" t="s">
        <v>3</v>
      </c>
      <c r="F17" s="41" t="s">
        <v>4</v>
      </c>
      <c r="G17" s="41" t="s">
        <v>24</v>
      </c>
      <c r="H17" s="41" t="s">
        <v>6</v>
      </c>
      <c r="I17" s="41" t="s">
        <v>33</v>
      </c>
    </row>
    <row r="18" spans="2:10" ht="14.4" x14ac:dyDescent="0.3">
      <c r="B18" s="2">
        <v>43014</v>
      </c>
      <c r="C18" s="54">
        <v>400000</v>
      </c>
      <c r="D18" s="17">
        <v>43014</v>
      </c>
      <c r="E18" s="2">
        <v>43379</v>
      </c>
      <c r="F18" s="54">
        <f t="shared" ref="F18:F20" si="3">+E18-D18</f>
        <v>365</v>
      </c>
      <c r="G18" s="45">
        <v>0.18</v>
      </c>
      <c r="H18" s="5">
        <f>$C$18*F18*G18/365</f>
        <v>72000</v>
      </c>
      <c r="I18" s="54"/>
      <c r="J18" s="297"/>
    </row>
    <row r="19" spans="2:10" ht="14.4" x14ac:dyDescent="0.3">
      <c r="B19" s="25"/>
      <c r="C19" s="54"/>
      <c r="D19" s="17">
        <f>+E18</f>
        <v>43379</v>
      </c>
      <c r="E19" s="2">
        <v>43744</v>
      </c>
      <c r="F19" s="54">
        <f t="shared" si="3"/>
        <v>365</v>
      </c>
      <c r="G19" s="45">
        <v>0.18</v>
      </c>
      <c r="H19" s="5">
        <f t="shared" ref="H19:H20" si="4">$C$18*F19*G19/365</f>
        <v>72000</v>
      </c>
      <c r="I19" s="54"/>
      <c r="J19" s="297"/>
    </row>
    <row r="20" spans="2:10" ht="14.4" x14ac:dyDescent="0.3">
      <c r="B20" s="25"/>
      <c r="C20" s="54"/>
      <c r="D20" s="17">
        <f>+E19</f>
        <v>43744</v>
      </c>
      <c r="E20" s="2">
        <v>43930</v>
      </c>
      <c r="F20" s="54">
        <f t="shared" si="3"/>
        <v>186</v>
      </c>
      <c r="G20" s="45">
        <v>0.18</v>
      </c>
      <c r="H20" s="5">
        <f t="shared" si="4"/>
        <v>36690.410958904111</v>
      </c>
      <c r="I20" s="54"/>
      <c r="J20" s="297"/>
    </row>
    <row r="21" spans="2:10" ht="14.4" x14ac:dyDescent="0.3">
      <c r="B21" s="25"/>
      <c r="C21" s="54"/>
      <c r="D21" s="17"/>
      <c r="E21" s="2"/>
      <c r="F21" s="54"/>
      <c r="G21" s="45"/>
      <c r="H21" s="5"/>
      <c r="I21" s="54"/>
      <c r="J21" s="297"/>
    </row>
    <row r="22" spans="2:10" ht="14.4" x14ac:dyDescent="0.3">
      <c r="B22" s="25"/>
      <c r="C22" s="54"/>
      <c r="D22" s="17"/>
      <c r="E22" s="2"/>
      <c r="F22" s="54"/>
      <c r="G22" s="45"/>
      <c r="H22" s="5"/>
      <c r="I22" s="54"/>
      <c r="J22" s="297"/>
    </row>
    <row r="23" spans="2:10" ht="14.4" x14ac:dyDescent="0.3">
      <c r="B23" s="25"/>
      <c r="C23" s="560" t="s">
        <v>39</v>
      </c>
      <c r="D23" s="561"/>
      <c r="E23" s="561"/>
      <c r="F23" s="561"/>
      <c r="G23" s="562"/>
      <c r="H23" s="8">
        <f>SUM(H18:H22)</f>
        <v>180690.4109589041</v>
      </c>
      <c r="I23" s="40"/>
      <c r="J23" s="297"/>
    </row>
    <row r="24" spans="2:10" ht="14.4" x14ac:dyDescent="0.3">
      <c r="B24" s="25"/>
      <c r="C24" s="560" t="s">
        <v>44</v>
      </c>
      <c r="D24" s="561"/>
      <c r="E24" s="561"/>
      <c r="F24" s="561"/>
      <c r="G24" s="562"/>
      <c r="H24" s="8">
        <f>+C18</f>
        <v>400000</v>
      </c>
      <c r="I24" s="40"/>
      <c r="J24" s="297"/>
    </row>
    <row r="25" spans="2:10" s="9" customFormat="1" ht="14.4" x14ac:dyDescent="0.3">
      <c r="B25" s="25"/>
      <c r="C25" s="557" t="s">
        <v>40</v>
      </c>
      <c r="D25" s="558"/>
      <c r="E25" s="558"/>
      <c r="F25" s="558"/>
      <c r="G25" s="559"/>
      <c r="H25" s="55">
        <f>SUM(H23:H24)</f>
        <v>580690.41095890407</v>
      </c>
      <c r="I25" s="40"/>
      <c r="J25" s="341"/>
    </row>
    <row r="27" spans="2:10" s="6" customFormat="1" ht="14.4" x14ac:dyDescent="0.3">
      <c r="B27" s="10"/>
      <c r="C27" s="10"/>
      <c r="D27" s="10"/>
      <c r="E27" s="10"/>
      <c r="F27" s="10"/>
      <c r="G27" s="10"/>
      <c r="H27" s="10"/>
      <c r="I27" s="10"/>
      <c r="J27" s="10"/>
    </row>
    <row r="28" spans="2:10" ht="14.4" x14ac:dyDescent="0.3">
      <c r="C28" s="10"/>
    </row>
    <row r="29" spans="2:10" ht="14.4" x14ac:dyDescent="0.3">
      <c r="B29" s="37"/>
      <c r="D29" s="37"/>
      <c r="E29" s="46"/>
      <c r="F29" s="18"/>
      <c r="G29" s="47"/>
      <c r="H29" s="14"/>
      <c r="I29" s="297"/>
      <c r="J29" s="297"/>
    </row>
    <row r="30" spans="2:10" ht="18" x14ac:dyDescent="0.35">
      <c r="B30" s="542" t="s">
        <v>93</v>
      </c>
      <c r="C30" s="542"/>
      <c r="D30" s="542"/>
      <c r="E30" s="542"/>
      <c r="F30" s="542"/>
      <c r="G30" s="542"/>
      <c r="H30" s="542"/>
      <c r="I30" s="542"/>
      <c r="J30" s="297"/>
    </row>
    <row r="31" spans="2:10" ht="14.4" x14ac:dyDescent="0.3">
      <c r="B31" s="557" t="s">
        <v>46</v>
      </c>
      <c r="C31" s="558"/>
      <c r="D31" s="558"/>
      <c r="E31" s="558"/>
      <c r="F31" s="558"/>
      <c r="G31" s="558"/>
      <c r="H31" s="558"/>
      <c r="I31" s="559"/>
    </row>
    <row r="32" spans="2:10" ht="28.75" x14ac:dyDescent="0.3">
      <c r="B32" s="41" t="s">
        <v>1</v>
      </c>
      <c r="C32" s="41" t="s">
        <v>7</v>
      </c>
      <c r="D32" s="41" t="s">
        <v>2</v>
      </c>
      <c r="E32" s="41" t="s">
        <v>3</v>
      </c>
      <c r="F32" s="41" t="s">
        <v>4</v>
      </c>
      <c r="G32" s="41" t="s">
        <v>24</v>
      </c>
      <c r="H32" s="41" t="s">
        <v>6</v>
      </c>
      <c r="I32" s="41" t="s">
        <v>33</v>
      </c>
      <c r="J32" s="341"/>
    </row>
    <row r="33" spans="2:11" ht="14.4" x14ac:dyDescent="0.3">
      <c r="B33" s="15"/>
      <c r="C33" s="12" t="s">
        <v>8</v>
      </c>
      <c r="D33" s="15"/>
      <c r="E33" s="1"/>
      <c r="F33" s="1"/>
      <c r="G33" s="1"/>
      <c r="H33" s="1"/>
      <c r="I33" s="15"/>
      <c r="J33" s="341"/>
    </row>
    <row r="34" spans="2:11" ht="14.4" x14ac:dyDescent="0.3">
      <c r="B34" s="2">
        <v>43014</v>
      </c>
      <c r="C34" s="54">
        <v>400000</v>
      </c>
      <c r="D34" s="17">
        <v>43014</v>
      </c>
      <c r="E34" s="2">
        <v>43379</v>
      </c>
      <c r="F34" s="54">
        <f t="shared" ref="F34:F36" si="5">+E34-D34</f>
        <v>365</v>
      </c>
      <c r="G34" s="45">
        <v>0.24</v>
      </c>
      <c r="H34" s="5">
        <f>C34*F34*G34/365</f>
        <v>96000</v>
      </c>
      <c r="I34" s="54">
        <f>+C34+H34</f>
        <v>496000</v>
      </c>
      <c r="J34" s="341"/>
    </row>
    <row r="35" spans="2:11" ht="14.4" x14ac:dyDescent="0.3">
      <c r="B35" s="40"/>
      <c r="C35" s="54">
        <f>+I34</f>
        <v>496000</v>
      </c>
      <c r="D35" s="17">
        <f>+E34</f>
        <v>43379</v>
      </c>
      <c r="E35" s="2">
        <v>43744</v>
      </c>
      <c r="F35" s="54">
        <f t="shared" si="5"/>
        <v>365</v>
      </c>
      <c r="G35" s="45">
        <v>0.24</v>
      </c>
      <c r="H35" s="5">
        <f t="shared" ref="H35:H36" si="6">C35*F35*G35/365</f>
        <v>119040</v>
      </c>
      <c r="I35" s="54">
        <f>I34+H35</f>
        <v>615040</v>
      </c>
      <c r="J35" s="341"/>
    </row>
    <row r="36" spans="2:11" ht="14.4" x14ac:dyDescent="0.3">
      <c r="B36" s="40"/>
      <c r="C36" s="54">
        <f>+I35</f>
        <v>615040</v>
      </c>
      <c r="D36" s="17">
        <f>+E35</f>
        <v>43744</v>
      </c>
      <c r="E36" s="2">
        <v>43930</v>
      </c>
      <c r="F36" s="54">
        <f t="shared" si="5"/>
        <v>186</v>
      </c>
      <c r="G36" s="45">
        <v>0.24</v>
      </c>
      <c r="H36" s="5">
        <f t="shared" si="6"/>
        <v>75220.234520547936</v>
      </c>
      <c r="I36" s="40">
        <f>I35+H36</f>
        <v>690260.23452054791</v>
      </c>
      <c r="J36" s="341"/>
    </row>
    <row r="37" spans="2:11" ht="14.4" x14ac:dyDescent="0.3">
      <c r="B37" s="40"/>
      <c r="C37" s="54"/>
      <c r="D37" s="17"/>
      <c r="E37" s="2"/>
      <c r="F37" s="54"/>
      <c r="G37" s="45"/>
      <c r="H37" s="5"/>
      <c r="I37" s="54"/>
      <c r="J37" s="341"/>
    </row>
    <row r="38" spans="2:11" ht="14.4" x14ac:dyDescent="0.3">
      <c r="B38" s="40"/>
      <c r="C38" s="54"/>
      <c r="D38" s="17"/>
      <c r="E38" s="2"/>
      <c r="F38" s="54"/>
      <c r="G38" s="45"/>
      <c r="H38" s="5"/>
      <c r="I38" s="40"/>
    </row>
    <row r="39" spans="2:11" ht="14.4" x14ac:dyDescent="0.3">
      <c r="B39" s="40"/>
      <c r="C39" s="560" t="s">
        <v>39</v>
      </c>
      <c r="D39" s="561"/>
      <c r="E39" s="561"/>
      <c r="F39" s="561"/>
      <c r="G39" s="562"/>
      <c r="H39" s="8">
        <f>SUM(H34:H38)</f>
        <v>290260.23452054791</v>
      </c>
      <c r="I39" s="54"/>
    </row>
    <row r="40" spans="2:11" ht="14.4" x14ac:dyDescent="0.3">
      <c r="B40" s="40"/>
      <c r="C40" s="560" t="s">
        <v>44</v>
      </c>
      <c r="D40" s="561"/>
      <c r="E40" s="561"/>
      <c r="F40" s="561"/>
      <c r="G40" s="562"/>
      <c r="H40" s="8">
        <f>+C34</f>
        <v>400000</v>
      </c>
      <c r="I40" s="54"/>
      <c r="K40" s="14"/>
    </row>
    <row r="41" spans="2:11" ht="14.4" x14ac:dyDescent="0.3">
      <c r="B41" s="40"/>
      <c r="C41" s="560" t="s">
        <v>40</v>
      </c>
      <c r="D41" s="561"/>
      <c r="E41" s="561"/>
      <c r="F41" s="561"/>
      <c r="G41" s="562"/>
      <c r="H41" s="55">
        <f>SUM(H39:H40)</f>
        <v>690260.23452054791</v>
      </c>
      <c r="I41" s="54"/>
    </row>
    <row r="42" spans="2:11" ht="14.4" x14ac:dyDescent="0.3">
      <c r="B42" s="40"/>
      <c r="C42" s="54"/>
      <c r="D42" s="17"/>
      <c r="E42" s="2"/>
      <c r="F42" s="19"/>
      <c r="G42" s="45"/>
      <c r="H42" s="8"/>
      <c r="I42" s="54"/>
    </row>
    <row r="43" spans="2:11" ht="14.4" x14ac:dyDescent="0.3">
      <c r="B43" s="40"/>
      <c r="C43" s="54"/>
      <c r="D43" s="17"/>
      <c r="E43" s="2"/>
      <c r="F43" s="19"/>
      <c r="G43" s="45"/>
      <c r="H43" s="8"/>
      <c r="I43" s="54"/>
    </row>
    <row r="44" spans="2:11" ht="14.4" x14ac:dyDescent="0.3">
      <c r="B44" s="557" t="s">
        <v>45</v>
      </c>
      <c r="C44" s="558"/>
      <c r="D44" s="558"/>
      <c r="E44" s="558"/>
      <c r="F44" s="558"/>
      <c r="G44" s="558"/>
      <c r="H44" s="558"/>
      <c r="I44" s="559"/>
    </row>
    <row r="45" spans="2:11" ht="28.75" x14ac:dyDescent="0.3">
      <c r="B45" s="41" t="s">
        <v>1</v>
      </c>
      <c r="C45" s="41" t="s">
        <v>7</v>
      </c>
      <c r="D45" s="41" t="s">
        <v>2</v>
      </c>
      <c r="E45" s="41" t="s">
        <v>3</v>
      </c>
      <c r="F45" s="41" t="s">
        <v>4</v>
      </c>
      <c r="G45" s="41" t="s">
        <v>24</v>
      </c>
      <c r="H45" s="41" t="s">
        <v>6</v>
      </c>
      <c r="I45" s="41" t="s">
        <v>33</v>
      </c>
    </row>
    <row r="46" spans="2:11" ht="14.4" x14ac:dyDescent="0.3">
      <c r="B46" s="2">
        <v>43014</v>
      </c>
      <c r="C46" s="54">
        <v>400000</v>
      </c>
      <c r="D46" s="17">
        <v>43014</v>
      </c>
      <c r="E46" s="2">
        <v>43379</v>
      </c>
      <c r="F46" s="54">
        <f t="shared" ref="F46:F48" si="7">+E46-D46</f>
        <v>365</v>
      </c>
      <c r="G46" s="45">
        <v>0.24</v>
      </c>
      <c r="H46" s="5">
        <f>$C$18*F46*G46/365</f>
        <v>96000</v>
      </c>
      <c r="I46" s="54"/>
    </row>
    <row r="47" spans="2:11" ht="14.4" x14ac:dyDescent="0.3">
      <c r="B47" s="25"/>
      <c r="C47" s="54"/>
      <c r="D47" s="17">
        <f>+E46</f>
        <v>43379</v>
      </c>
      <c r="E47" s="2">
        <v>43744</v>
      </c>
      <c r="F47" s="54">
        <f t="shared" si="7"/>
        <v>365</v>
      </c>
      <c r="G47" s="45">
        <v>0.24</v>
      </c>
      <c r="H47" s="5">
        <f t="shared" ref="H47:H48" si="8">$C$18*F47*G47/365</f>
        <v>96000</v>
      </c>
      <c r="I47" s="54"/>
    </row>
    <row r="48" spans="2:11" ht="14.4" x14ac:dyDescent="0.3">
      <c r="B48" s="25"/>
      <c r="C48" s="54"/>
      <c r="D48" s="17">
        <f>+E47</f>
        <v>43744</v>
      </c>
      <c r="E48" s="2">
        <v>43930</v>
      </c>
      <c r="F48" s="54">
        <f t="shared" si="7"/>
        <v>186</v>
      </c>
      <c r="G48" s="45">
        <v>0.24</v>
      </c>
      <c r="H48" s="5">
        <f t="shared" si="8"/>
        <v>48920.547945205479</v>
      </c>
      <c r="I48" s="54"/>
    </row>
    <row r="49" spans="2:10" ht="14.4" x14ac:dyDescent="0.3">
      <c r="B49" s="25"/>
      <c r="C49" s="54"/>
      <c r="D49" s="17"/>
      <c r="E49" s="2"/>
      <c r="F49" s="54"/>
      <c r="G49" s="45"/>
      <c r="H49" s="5"/>
      <c r="I49" s="54"/>
    </row>
    <row r="50" spans="2:10" ht="14.4" x14ac:dyDescent="0.3">
      <c r="B50" s="25"/>
      <c r="C50" s="54"/>
      <c r="D50" s="17"/>
      <c r="E50" s="2"/>
      <c r="F50" s="54"/>
      <c r="G50" s="45"/>
      <c r="H50" s="5"/>
      <c r="I50" s="54"/>
    </row>
    <row r="51" spans="2:10" ht="14.4" x14ac:dyDescent="0.3">
      <c r="B51" s="25"/>
      <c r="C51" s="560" t="s">
        <v>39</v>
      </c>
      <c r="D51" s="561"/>
      <c r="E51" s="561"/>
      <c r="F51" s="561"/>
      <c r="G51" s="562"/>
      <c r="H51" s="8">
        <f>SUM(H46:H50)</f>
        <v>240920.54794520547</v>
      </c>
      <c r="I51" s="40"/>
    </row>
    <row r="52" spans="2:10" ht="14.4" x14ac:dyDescent="0.3">
      <c r="B52" s="25"/>
      <c r="C52" s="560" t="s">
        <v>44</v>
      </c>
      <c r="D52" s="561"/>
      <c r="E52" s="561"/>
      <c r="F52" s="561"/>
      <c r="G52" s="562"/>
      <c r="H52" s="8">
        <f>+C46</f>
        <v>400000</v>
      </c>
      <c r="I52" s="40"/>
    </row>
    <row r="53" spans="2:10" ht="14.4" x14ac:dyDescent="0.3">
      <c r="B53" s="25"/>
      <c r="C53" s="557" t="s">
        <v>40</v>
      </c>
      <c r="D53" s="558"/>
      <c r="E53" s="558"/>
      <c r="F53" s="558"/>
      <c r="G53" s="559"/>
      <c r="H53" s="55">
        <f>SUM(H51:H52)</f>
        <v>640920.54794520547</v>
      </c>
      <c r="I53" s="40"/>
    </row>
    <row r="56" spans="2:10" ht="14.4" x14ac:dyDescent="0.3">
      <c r="B56" s="16"/>
      <c r="C56" s="54">
        <v>1000000</v>
      </c>
      <c r="D56" s="17">
        <v>42177</v>
      </c>
      <c r="E56" s="2">
        <v>42379</v>
      </c>
      <c r="F56" s="3">
        <f t="shared" ref="F56:F57" si="9">+E56-D56</f>
        <v>202</v>
      </c>
      <c r="G56" s="4">
        <v>0.24</v>
      </c>
      <c r="H56" s="5">
        <f t="shared" ref="H56:H57" si="10">C56*F56*G56/365</f>
        <v>132821.91780821918</v>
      </c>
      <c r="I56" s="54">
        <f t="shared" ref="I56:I57" si="11">+C56+H56</f>
        <v>1132821.9178082191</v>
      </c>
      <c r="J56" s="297"/>
    </row>
    <row r="57" spans="2:10" ht="14.4" x14ac:dyDescent="0.3">
      <c r="B57" s="16"/>
      <c r="C57" s="54">
        <v>500000</v>
      </c>
      <c r="D57" s="17">
        <f>+E56</f>
        <v>42379</v>
      </c>
      <c r="E57" s="2">
        <v>42401</v>
      </c>
      <c r="F57" s="3">
        <f t="shared" si="9"/>
        <v>22</v>
      </c>
      <c r="G57" s="4">
        <v>0.24</v>
      </c>
      <c r="H57" s="5">
        <f t="shared" si="10"/>
        <v>7232.8767123287671</v>
      </c>
      <c r="I57" s="40">
        <f t="shared" si="11"/>
        <v>507232.87671232875</v>
      </c>
      <c r="J57" s="341"/>
    </row>
    <row r="59" spans="2:10" ht="14.4" x14ac:dyDescent="0.3">
      <c r="H59" s="14">
        <f>+H56-H57</f>
        <v>125589.04109589041</v>
      </c>
    </row>
    <row r="62" spans="2:10" ht="18" x14ac:dyDescent="0.35">
      <c r="B62" s="542" t="s">
        <v>182</v>
      </c>
      <c r="C62" s="542"/>
      <c r="D62" s="542"/>
      <c r="E62" s="542"/>
      <c r="F62" s="542"/>
      <c r="G62" s="542"/>
      <c r="H62" s="542"/>
      <c r="I62" s="542"/>
    </row>
    <row r="63" spans="2:10" ht="28.75" x14ac:dyDescent="0.3">
      <c r="B63" s="41" t="s">
        <v>1</v>
      </c>
      <c r="C63" s="41" t="s">
        <v>7</v>
      </c>
      <c r="D63" s="41" t="s">
        <v>2</v>
      </c>
      <c r="E63" s="41" t="s">
        <v>3</v>
      </c>
      <c r="F63" s="41" t="s">
        <v>4</v>
      </c>
      <c r="G63" s="41" t="s">
        <v>24</v>
      </c>
      <c r="H63" s="41" t="s">
        <v>6</v>
      </c>
      <c r="I63" s="41" t="s">
        <v>33</v>
      </c>
    </row>
    <row r="64" spans="2:10" ht="14.4" x14ac:dyDescent="0.3">
      <c r="B64" s="15"/>
      <c r="C64" s="12" t="s">
        <v>8</v>
      </c>
      <c r="D64" s="15"/>
      <c r="E64" s="1"/>
      <c r="F64" s="1"/>
      <c r="G64" s="1"/>
      <c r="H64" s="1"/>
      <c r="I64" s="15"/>
    </row>
    <row r="65" spans="2:9" ht="14.4" x14ac:dyDescent="0.3">
      <c r="B65" s="2" t="s">
        <v>183</v>
      </c>
      <c r="C65" s="54">
        <v>596300</v>
      </c>
      <c r="D65" s="17">
        <v>43170</v>
      </c>
      <c r="E65" s="2">
        <v>43535</v>
      </c>
      <c r="F65" s="54">
        <f t="shared" ref="F65:F67" si="12">+E65-D65</f>
        <v>365</v>
      </c>
      <c r="G65" s="45">
        <v>0.18</v>
      </c>
      <c r="H65" s="5">
        <f>C65*F65*G65/365</f>
        <v>107334</v>
      </c>
      <c r="I65" s="54">
        <f>+C65+H65</f>
        <v>703634</v>
      </c>
    </row>
    <row r="66" spans="2:9" ht="14.4" x14ac:dyDescent="0.3">
      <c r="B66" s="40"/>
      <c r="C66" s="54">
        <f>+I65</f>
        <v>703634</v>
      </c>
      <c r="D66" s="17">
        <f>+E65</f>
        <v>43535</v>
      </c>
      <c r="E66" s="2">
        <v>43901</v>
      </c>
      <c r="F66" s="54">
        <f>+E66-D66-1</f>
        <v>365</v>
      </c>
      <c r="G66" s="45">
        <v>0.18</v>
      </c>
      <c r="H66" s="5">
        <f>C66*F66*G66/365</f>
        <v>126654.12</v>
      </c>
      <c r="I66" s="54">
        <f>I65+H66</f>
        <v>830288.12</v>
      </c>
    </row>
    <row r="67" spans="2:9" ht="14.4" x14ac:dyDescent="0.3">
      <c r="B67" s="40"/>
      <c r="C67" s="54">
        <f>+I66</f>
        <v>830288.12</v>
      </c>
      <c r="D67" s="17">
        <f>+E66</f>
        <v>43901</v>
      </c>
      <c r="E67" s="2">
        <v>44266</v>
      </c>
      <c r="F67" s="54">
        <f t="shared" si="12"/>
        <v>365</v>
      </c>
      <c r="G67" s="45">
        <v>0.18</v>
      </c>
      <c r="H67" s="5">
        <f>C67*F67*G67/365</f>
        <v>149451.8616</v>
      </c>
      <c r="I67" s="54">
        <f>I66+H67</f>
        <v>979739.98160000006</v>
      </c>
    </row>
    <row r="68" spans="2:9" ht="14.4" x14ac:dyDescent="0.3">
      <c r="B68" s="40"/>
      <c r="C68" s="54">
        <f>+I67</f>
        <v>979739.98160000006</v>
      </c>
      <c r="D68" s="17">
        <f>+E67</f>
        <v>44266</v>
      </c>
      <c r="E68" s="2">
        <v>44593</v>
      </c>
      <c r="F68" s="54">
        <f t="shared" ref="F68" si="13">+E68-D68</f>
        <v>327</v>
      </c>
      <c r="G68" s="45">
        <v>0.18</v>
      </c>
      <c r="H68" s="5">
        <f>C68*F68*G68/365</f>
        <v>157993.13785472879</v>
      </c>
      <c r="I68" s="40">
        <f>I67+H68</f>
        <v>1137733.1194547289</v>
      </c>
    </row>
    <row r="69" spans="2:9" ht="14.4" x14ac:dyDescent="0.3">
      <c r="B69" s="40"/>
      <c r="C69" s="54"/>
      <c r="D69" s="17"/>
      <c r="E69" s="2"/>
      <c r="F69" s="54"/>
      <c r="G69" s="45"/>
      <c r="H69" s="5"/>
      <c r="I69" s="40"/>
    </row>
    <row r="70" spans="2:9" ht="14.4" x14ac:dyDescent="0.3">
      <c r="B70" s="40"/>
      <c r="C70" s="560" t="s">
        <v>39</v>
      </c>
      <c r="D70" s="561"/>
      <c r="E70" s="561"/>
      <c r="F70" s="561"/>
      <c r="G70" s="562"/>
      <c r="H70" s="8">
        <f>SUM(H65:H69)</f>
        <v>541433.11945472879</v>
      </c>
      <c r="I70" s="54"/>
    </row>
    <row r="71" spans="2:9" ht="14.4" x14ac:dyDescent="0.3">
      <c r="B71" s="40"/>
      <c r="C71" s="560" t="s">
        <v>44</v>
      </c>
      <c r="D71" s="561"/>
      <c r="E71" s="561"/>
      <c r="F71" s="561"/>
      <c r="G71" s="562"/>
      <c r="H71" s="8">
        <f>+C65</f>
        <v>596300</v>
      </c>
      <c r="I71" s="54"/>
    </row>
    <row r="72" spans="2:9" ht="14.4" x14ac:dyDescent="0.3">
      <c r="B72" s="40"/>
      <c r="C72" s="560" t="s">
        <v>40</v>
      </c>
      <c r="D72" s="561"/>
      <c r="E72" s="561"/>
      <c r="F72" s="561"/>
      <c r="G72" s="562"/>
      <c r="H72" s="55">
        <f>SUM(H70:H71)</f>
        <v>1137733.1194547289</v>
      </c>
      <c r="I72" s="54"/>
    </row>
    <row r="76" spans="2:9" ht="18" x14ac:dyDescent="0.35">
      <c r="B76" s="542" t="s">
        <v>185</v>
      </c>
      <c r="C76" s="542"/>
      <c r="D76" s="542"/>
      <c r="E76" s="542"/>
      <c r="F76" s="542"/>
      <c r="G76" s="542"/>
      <c r="H76" s="542"/>
      <c r="I76" s="542"/>
    </row>
    <row r="77" spans="2:9" ht="28.75" x14ac:dyDescent="0.3">
      <c r="B77" s="41" t="s">
        <v>1</v>
      </c>
      <c r="C77" s="41" t="s">
        <v>7</v>
      </c>
      <c r="D77" s="41" t="s">
        <v>2</v>
      </c>
      <c r="E77" s="41" t="s">
        <v>3</v>
      </c>
      <c r="F77" s="41" t="s">
        <v>4</v>
      </c>
      <c r="G77" s="41" t="s">
        <v>24</v>
      </c>
      <c r="H77" s="41" t="s">
        <v>6</v>
      </c>
      <c r="I77" s="41" t="s">
        <v>33</v>
      </c>
    </row>
    <row r="78" spans="2:9" ht="14.4" x14ac:dyDescent="0.3">
      <c r="B78" s="15"/>
      <c r="C78" s="12" t="s">
        <v>8</v>
      </c>
      <c r="D78" s="15"/>
      <c r="E78" s="1"/>
      <c r="F78" s="1"/>
      <c r="G78" s="1"/>
      <c r="H78" s="1"/>
      <c r="I78" s="15"/>
    </row>
    <row r="79" spans="2:9" ht="14.4" x14ac:dyDescent="0.3">
      <c r="B79" s="40"/>
      <c r="C79" s="54">
        <v>5000000</v>
      </c>
      <c r="D79" s="17">
        <v>44507</v>
      </c>
      <c r="E79" s="2">
        <v>44594</v>
      </c>
      <c r="F79" s="54">
        <f t="shared" ref="F79" si="14">+E79-D79</f>
        <v>87</v>
      </c>
      <c r="G79" s="45">
        <v>0.18</v>
      </c>
      <c r="H79" s="5">
        <f>C79*F79*G79/365</f>
        <v>214520.54794520547</v>
      </c>
      <c r="I79" s="54">
        <f>+H79+C79</f>
        <v>5214520.5479452051</v>
      </c>
    </row>
    <row r="80" spans="2:9" ht="14.4" x14ac:dyDescent="0.3">
      <c r="B80" s="40"/>
      <c r="C80" s="54"/>
      <c r="D80" s="17"/>
      <c r="E80" s="2"/>
      <c r="F80" s="54"/>
      <c r="G80" s="45"/>
      <c r="H80" s="5"/>
      <c r="I80" s="54"/>
    </row>
    <row r="81" spans="2:12" ht="14.4" x14ac:dyDescent="0.3">
      <c r="B81" s="40"/>
      <c r="C81" s="54"/>
      <c r="D81" s="17"/>
      <c r="E81" s="2"/>
      <c r="F81" s="54"/>
      <c r="G81" s="45" t="s">
        <v>27</v>
      </c>
      <c r="H81" s="5" t="s">
        <v>21</v>
      </c>
      <c r="I81" s="40">
        <v>5000000</v>
      </c>
      <c r="L81">
        <v>24</v>
      </c>
    </row>
    <row r="82" spans="2:12" ht="14.4" x14ac:dyDescent="0.3">
      <c r="B82" s="40"/>
      <c r="C82" s="54"/>
      <c r="D82" s="17"/>
      <c r="E82" s="2"/>
      <c r="F82" s="54"/>
      <c r="G82" s="45"/>
      <c r="H82" s="5"/>
      <c r="I82" s="40">
        <f>+I79-I81</f>
        <v>214520.54794520512</v>
      </c>
      <c r="L82">
        <v>31</v>
      </c>
    </row>
    <row r="83" spans="2:12" ht="14.4" x14ac:dyDescent="0.3">
      <c r="B83" s="40"/>
      <c r="C83" s="560" t="s">
        <v>39</v>
      </c>
      <c r="D83" s="561"/>
      <c r="E83" s="561"/>
      <c r="F83" s="561"/>
      <c r="G83" s="562"/>
      <c r="H83" s="8">
        <f>SUM(H79:H82)</f>
        <v>214520.54794520547</v>
      </c>
      <c r="I83" s="54"/>
      <c r="L83">
        <v>31</v>
      </c>
    </row>
    <row r="84" spans="2:12" ht="14.4" x14ac:dyDescent="0.3">
      <c r="B84" s="40"/>
      <c r="C84" s="560" t="s">
        <v>44</v>
      </c>
      <c r="D84" s="561"/>
      <c r="E84" s="561"/>
      <c r="F84" s="561"/>
      <c r="G84" s="562"/>
      <c r="H84" s="8">
        <f>+C88</f>
        <v>5000000</v>
      </c>
      <c r="I84" s="54"/>
      <c r="L84">
        <v>2</v>
      </c>
    </row>
    <row r="85" spans="2:12" ht="14.4" x14ac:dyDescent="0.3">
      <c r="B85" s="40"/>
      <c r="C85" s="560" t="s">
        <v>40</v>
      </c>
      <c r="D85" s="561"/>
      <c r="E85" s="561"/>
      <c r="F85" s="561"/>
      <c r="G85" s="562"/>
      <c r="H85" s="55">
        <f>SUM(H83:H84)</f>
        <v>5214520.5479452051</v>
      </c>
      <c r="I85" s="54"/>
    </row>
    <row r="88" spans="2:12" ht="14.4" x14ac:dyDescent="0.3">
      <c r="B88" s="2" t="s">
        <v>184</v>
      </c>
      <c r="C88" s="54">
        <v>5000000</v>
      </c>
      <c r="D88" s="17">
        <v>44415</v>
      </c>
      <c r="E88" s="2">
        <v>44594</v>
      </c>
      <c r="F88" s="54">
        <f>+E88-D88</f>
        <v>179</v>
      </c>
      <c r="G88" s="45">
        <v>0.18</v>
      </c>
      <c r="H88" s="5">
        <f>C88*F88*G88/365</f>
        <v>441369.8630136986</v>
      </c>
      <c r="I88" s="54">
        <f>+C88+H88</f>
        <v>5441369.8630136987</v>
      </c>
    </row>
    <row r="91" spans="2:12" ht="18" x14ac:dyDescent="0.35">
      <c r="B91" s="542" t="s">
        <v>191</v>
      </c>
      <c r="C91" s="542"/>
      <c r="D91" s="542"/>
      <c r="E91" s="542"/>
      <c r="F91" s="542"/>
      <c r="G91" s="542"/>
      <c r="H91" s="542"/>
      <c r="I91" s="542"/>
    </row>
    <row r="92" spans="2:12" ht="28.75" x14ac:dyDescent="0.3">
      <c r="B92" s="41" t="s">
        <v>1</v>
      </c>
      <c r="C92" s="41" t="s">
        <v>7</v>
      </c>
      <c r="D92" s="41" t="s">
        <v>2</v>
      </c>
      <c r="E92" s="41" t="s">
        <v>3</v>
      </c>
      <c r="F92" s="41" t="s">
        <v>4</v>
      </c>
      <c r="G92" s="41" t="s">
        <v>24</v>
      </c>
      <c r="H92" s="41" t="s">
        <v>6</v>
      </c>
      <c r="I92" s="41" t="s">
        <v>33</v>
      </c>
    </row>
    <row r="93" spans="2:12" ht="14.4" x14ac:dyDescent="0.3">
      <c r="B93" s="15"/>
      <c r="C93" s="12" t="s">
        <v>8</v>
      </c>
      <c r="D93" s="15"/>
      <c r="E93" s="1"/>
      <c r="F93" s="1"/>
      <c r="G93" s="1"/>
      <c r="H93" s="1"/>
      <c r="I93" s="15"/>
    </row>
    <row r="94" spans="2:12" ht="14.4" x14ac:dyDescent="0.3">
      <c r="B94" s="64">
        <v>44396</v>
      </c>
      <c r="C94" s="54">
        <v>2600000</v>
      </c>
      <c r="D94" s="17">
        <v>44396</v>
      </c>
      <c r="E94" s="2">
        <v>44603</v>
      </c>
      <c r="F94" s="54">
        <f t="shared" ref="F94" si="15">+E94-D94</f>
        <v>207</v>
      </c>
      <c r="G94" s="45">
        <v>0.15</v>
      </c>
      <c r="H94" s="5">
        <f>C94*F94*G94/365</f>
        <v>221178.08219178082</v>
      </c>
      <c r="I94" s="54">
        <f>+H94+C94</f>
        <v>2821178.0821917807</v>
      </c>
    </row>
    <row r="95" spans="2:12" ht="14.4" x14ac:dyDescent="0.3">
      <c r="B95" s="40"/>
      <c r="C95" s="54"/>
      <c r="D95" s="17"/>
      <c r="E95" s="2"/>
      <c r="F95" s="54"/>
      <c r="G95" s="45"/>
      <c r="H95" s="5"/>
      <c r="I95" s="54"/>
    </row>
    <row r="96" spans="2:12" ht="14.4" x14ac:dyDescent="0.3">
      <c r="B96" s="40"/>
      <c r="C96" s="557" t="s">
        <v>122</v>
      </c>
      <c r="D96" s="558"/>
      <c r="E96" s="558"/>
      <c r="F96" s="558"/>
      <c r="G96" s="559"/>
      <c r="H96" s="8">
        <f>SUM(H94:H95)</f>
        <v>221178.08219178082</v>
      </c>
      <c r="I96" s="54"/>
    </row>
    <row r="99" spans="2:10" ht="14.4" x14ac:dyDescent="0.3">
      <c r="C99" s="618" t="s">
        <v>186</v>
      </c>
      <c r="D99" s="618"/>
      <c r="E99" s="548" t="s">
        <v>187</v>
      </c>
      <c r="F99" s="548"/>
    </row>
    <row r="100" spans="2:10" ht="14.4" x14ac:dyDescent="0.3">
      <c r="C100" s="678">
        <v>44396</v>
      </c>
      <c r="D100" s="678"/>
      <c r="E100" s="679">
        <f>+C94</f>
        <v>2600000</v>
      </c>
      <c r="F100" s="553"/>
      <c r="H100" s="14"/>
    </row>
    <row r="101" spans="2:10" ht="14.4" x14ac:dyDescent="0.3">
      <c r="C101" s="580" t="s">
        <v>28</v>
      </c>
      <c r="D101" s="580"/>
      <c r="E101" s="679">
        <f>+H96</f>
        <v>221178.08219178082</v>
      </c>
      <c r="F101" s="553"/>
      <c r="H101" s="14"/>
    </row>
    <row r="103" spans="2:10" ht="14.4" x14ac:dyDescent="0.3">
      <c r="C103" s="682" t="s">
        <v>190</v>
      </c>
      <c r="D103" s="682"/>
      <c r="E103" s="681">
        <f>SUM(E100:E102)</f>
        <v>2821178.0821917807</v>
      </c>
      <c r="F103" s="681"/>
    </row>
    <row r="105" spans="2:10" ht="14.4" x14ac:dyDescent="0.3">
      <c r="C105" s="618" t="s">
        <v>188</v>
      </c>
      <c r="D105" s="618"/>
      <c r="E105" s="548" t="s">
        <v>189</v>
      </c>
      <c r="F105" s="548"/>
    </row>
    <row r="106" spans="2:10" ht="14.4" x14ac:dyDescent="0.3">
      <c r="C106" s="678">
        <v>44238</v>
      </c>
      <c r="D106" s="678"/>
      <c r="E106" s="553">
        <v>3000000</v>
      </c>
      <c r="F106" s="553"/>
    </row>
    <row r="108" spans="2:10" s="9" customFormat="1" ht="14.4" x14ac:dyDescent="0.3">
      <c r="B108" s="10"/>
      <c r="C108" s="548" t="s">
        <v>192</v>
      </c>
      <c r="D108" s="548"/>
      <c r="E108" s="680">
        <f>+E106-E103</f>
        <v>178821.91780821932</v>
      </c>
      <c r="F108" s="548"/>
      <c r="I108" s="10"/>
      <c r="J108" s="10"/>
    </row>
    <row r="114" spans="2:10" ht="18" x14ac:dyDescent="0.35">
      <c r="B114" s="542"/>
      <c r="C114" s="542"/>
      <c r="D114" s="542"/>
      <c r="E114" s="542"/>
      <c r="F114" s="542"/>
      <c r="G114" s="542"/>
      <c r="H114" s="542"/>
      <c r="I114" s="542"/>
    </row>
    <row r="115" spans="2:10" ht="28.75" x14ac:dyDescent="0.3">
      <c r="B115" s="41" t="s">
        <v>1</v>
      </c>
      <c r="C115" s="41" t="s">
        <v>7</v>
      </c>
      <c r="D115" s="41" t="s">
        <v>2</v>
      </c>
      <c r="E115" s="41" t="s">
        <v>3</v>
      </c>
      <c r="F115" s="41" t="s">
        <v>4</v>
      </c>
      <c r="G115" s="41" t="s">
        <v>24</v>
      </c>
      <c r="H115" s="41" t="s">
        <v>6</v>
      </c>
      <c r="I115" s="41" t="s">
        <v>33</v>
      </c>
    </row>
    <row r="116" spans="2:10" ht="14.4" x14ac:dyDescent="0.3">
      <c r="B116" s="15"/>
      <c r="C116" s="12" t="s">
        <v>8</v>
      </c>
      <c r="D116" s="15"/>
      <c r="E116" s="1"/>
      <c r="F116" s="1"/>
      <c r="G116" s="1"/>
      <c r="H116" s="1"/>
      <c r="I116" s="15"/>
    </row>
    <row r="117" spans="2:10" ht="14.4" x14ac:dyDescent="0.3">
      <c r="B117" s="64">
        <v>44513</v>
      </c>
      <c r="C117" s="54">
        <v>1000000</v>
      </c>
      <c r="D117" s="17">
        <v>44513</v>
      </c>
      <c r="E117" s="2">
        <v>44614</v>
      </c>
      <c r="F117" s="54">
        <f t="shared" ref="F117:F118" si="16">+E117-D117</f>
        <v>101</v>
      </c>
      <c r="G117" s="45">
        <v>0.24</v>
      </c>
      <c r="H117" s="5">
        <f>C117*F117*G117/365</f>
        <v>66410.95890410959</v>
      </c>
      <c r="I117" s="54">
        <f>+H117+C117</f>
        <v>1066410.9589041097</v>
      </c>
    </row>
    <row r="118" spans="2:10" ht="14.4" x14ac:dyDescent="0.3">
      <c r="B118" s="64">
        <v>44517</v>
      </c>
      <c r="C118" s="54">
        <v>500000</v>
      </c>
      <c r="D118" s="17">
        <v>44517</v>
      </c>
      <c r="E118" s="2">
        <v>44614</v>
      </c>
      <c r="F118" s="54">
        <f t="shared" si="16"/>
        <v>97</v>
      </c>
      <c r="G118" s="45">
        <v>0.24</v>
      </c>
      <c r="H118" s="5">
        <f>C118*F118*G118/365</f>
        <v>31890.410958904111</v>
      </c>
      <c r="I118" s="54">
        <f>+H118+C118</f>
        <v>531890.41095890407</v>
      </c>
    </row>
    <row r="119" spans="2:10" ht="14.4" x14ac:dyDescent="0.3">
      <c r="B119" s="40"/>
      <c r="C119" s="54"/>
      <c r="D119" s="17"/>
      <c r="E119" s="2"/>
      <c r="F119" s="54"/>
      <c r="G119" s="45"/>
      <c r="H119" s="5"/>
      <c r="I119" s="54"/>
    </row>
    <row r="120" spans="2:10" ht="14.4" x14ac:dyDescent="0.3">
      <c r="B120" s="40"/>
      <c r="C120" s="557" t="s">
        <v>122</v>
      </c>
      <c r="D120" s="558"/>
      <c r="E120" s="558"/>
      <c r="F120" s="558"/>
      <c r="G120" s="559"/>
      <c r="H120" s="8">
        <f>SUM(H117:H119)</f>
        <v>98301.369863013708</v>
      </c>
      <c r="I120" s="54"/>
    </row>
    <row r="125" spans="2:10" ht="18.649999999999999" thickBot="1" x14ac:dyDescent="0.4">
      <c r="B125" s="542" t="s">
        <v>185</v>
      </c>
      <c r="C125" s="542"/>
      <c r="D125" s="542"/>
      <c r="E125" s="542"/>
      <c r="F125" s="542"/>
      <c r="G125" s="542"/>
      <c r="H125" s="542"/>
      <c r="I125" s="542"/>
      <c r="J125" s="542"/>
    </row>
    <row r="126" spans="2:10" s="6" customFormat="1" ht="29.4" thickBot="1" x14ac:dyDescent="0.35">
      <c r="B126" s="301" t="s">
        <v>1</v>
      </c>
      <c r="C126" s="302" t="s">
        <v>7</v>
      </c>
      <c r="D126" s="302" t="s">
        <v>156</v>
      </c>
      <c r="E126" s="302" t="s">
        <v>2</v>
      </c>
      <c r="F126" s="302" t="s">
        <v>3</v>
      </c>
      <c r="G126" s="302" t="s">
        <v>4</v>
      </c>
      <c r="H126" s="302" t="s">
        <v>24</v>
      </c>
      <c r="I126" s="302" t="s">
        <v>6</v>
      </c>
      <c r="J126" s="303" t="s">
        <v>33</v>
      </c>
    </row>
    <row r="127" spans="2:10" ht="14.4" x14ac:dyDescent="0.3">
      <c r="B127" s="300"/>
      <c r="C127" s="335" t="s">
        <v>153</v>
      </c>
      <c r="D127" s="335"/>
      <c r="E127" s="167"/>
      <c r="F127" s="167"/>
      <c r="G127" s="167"/>
      <c r="H127" s="167"/>
      <c r="I127" s="93"/>
      <c r="J127" s="328"/>
    </row>
    <row r="128" spans="2:10" ht="14.4" x14ac:dyDescent="0.3">
      <c r="B128" s="299" t="s">
        <v>276</v>
      </c>
      <c r="C128" s="54">
        <v>6500000</v>
      </c>
      <c r="D128" s="54" t="s">
        <v>158</v>
      </c>
      <c r="E128" s="2">
        <v>44825</v>
      </c>
      <c r="F128" s="2">
        <v>45190</v>
      </c>
      <c r="G128" s="54">
        <f t="shared" ref="G128" si="17">+F128-E128</f>
        <v>365</v>
      </c>
      <c r="H128" s="45">
        <v>0.18</v>
      </c>
      <c r="I128" s="54">
        <f>C128*G128*H128/365</f>
        <v>1170000</v>
      </c>
      <c r="J128" s="222">
        <f>+I128+C128</f>
        <v>7670000</v>
      </c>
    </row>
    <row r="129" spans="2:10" ht="14.4" x14ac:dyDescent="0.3">
      <c r="B129" s="299"/>
      <c r="C129" s="54"/>
      <c r="D129" s="54"/>
      <c r="E129" s="2">
        <f>+F128</f>
        <v>45190</v>
      </c>
      <c r="F129" s="2">
        <v>45469</v>
      </c>
      <c r="G129" s="54">
        <f t="shared" ref="G129" si="18">+F129-E129</f>
        <v>279</v>
      </c>
      <c r="H129" s="45">
        <v>0.18</v>
      </c>
      <c r="I129" s="54">
        <f>J128*G129*H129/365</f>
        <v>1055307.9452054794</v>
      </c>
      <c r="J129" s="222">
        <f>+I129+J128</f>
        <v>8725307.9452054799</v>
      </c>
    </row>
    <row r="130" spans="2:10" ht="14.4" x14ac:dyDescent="0.3">
      <c r="B130" s="299"/>
      <c r="C130" s="54"/>
      <c r="D130" s="54"/>
      <c r="E130" s="2"/>
      <c r="F130" s="2"/>
      <c r="G130" s="54"/>
      <c r="H130" s="45"/>
      <c r="I130" s="54"/>
      <c r="J130" s="222"/>
    </row>
    <row r="131" spans="2:10" ht="14.4" x14ac:dyDescent="0.3">
      <c r="B131" s="299" t="s">
        <v>277</v>
      </c>
      <c r="C131" s="54">
        <v>2000000</v>
      </c>
      <c r="D131" s="54" t="s">
        <v>157</v>
      </c>
      <c r="E131" s="2">
        <v>44832</v>
      </c>
      <c r="F131" s="2">
        <v>45197</v>
      </c>
      <c r="G131" s="54">
        <f t="shared" ref="G131:G132" si="19">+F131-E131</f>
        <v>365</v>
      </c>
      <c r="H131" s="45">
        <v>0.18</v>
      </c>
      <c r="I131" s="54">
        <f>C131*G131*H131/365</f>
        <v>360000</v>
      </c>
      <c r="J131" s="222">
        <f>+I131+C131</f>
        <v>2360000</v>
      </c>
    </row>
    <row r="132" spans="2:10" ht="14.4" x14ac:dyDescent="0.3">
      <c r="B132" s="299"/>
      <c r="C132" s="54"/>
      <c r="D132" s="54"/>
      <c r="E132" s="2">
        <f>+F131</f>
        <v>45197</v>
      </c>
      <c r="F132" s="2">
        <v>45469</v>
      </c>
      <c r="G132" s="54">
        <f t="shared" si="19"/>
        <v>272</v>
      </c>
      <c r="H132" s="45">
        <v>0.18</v>
      </c>
      <c r="I132" s="54">
        <f>J131*G132*H132/365</f>
        <v>316563.28767123289</v>
      </c>
      <c r="J132" s="222">
        <f>+I132+J131</f>
        <v>2676563.2876712331</v>
      </c>
    </row>
    <row r="133" spans="2:10" ht="14.4" x14ac:dyDescent="0.3">
      <c r="B133" s="299"/>
      <c r="C133" s="54"/>
      <c r="D133" s="54"/>
      <c r="E133" s="2"/>
      <c r="F133" s="2"/>
      <c r="G133" s="54"/>
      <c r="H133" s="45"/>
      <c r="I133" s="54"/>
      <c r="J133" s="222"/>
    </row>
    <row r="134" spans="2:10" ht="14.4" x14ac:dyDescent="0.3">
      <c r="B134" s="299" t="s">
        <v>278</v>
      </c>
      <c r="C134" s="54">
        <v>1500000</v>
      </c>
      <c r="D134" s="54" t="s">
        <v>157</v>
      </c>
      <c r="E134" s="2">
        <v>45169</v>
      </c>
      <c r="F134" s="2">
        <v>45469</v>
      </c>
      <c r="G134" s="54">
        <f t="shared" ref="G134" si="20">+F134-E134</f>
        <v>300</v>
      </c>
      <c r="H134" s="45">
        <v>0.18</v>
      </c>
      <c r="I134" s="54">
        <f>C134*G134*H134/365</f>
        <v>221917.80821917808</v>
      </c>
      <c r="J134" s="222">
        <f>+I134+C134</f>
        <v>1721917.8082191781</v>
      </c>
    </row>
    <row r="135" spans="2:10" ht="14.4" x14ac:dyDescent="0.3">
      <c r="B135" s="299"/>
      <c r="C135" s="54"/>
      <c r="D135" s="54"/>
      <c r="E135" s="2"/>
      <c r="F135" s="2"/>
      <c r="G135" s="54"/>
      <c r="H135" s="45"/>
      <c r="I135" s="54"/>
      <c r="J135" s="222"/>
    </row>
    <row r="136" spans="2:10" ht="14.4" x14ac:dyDescent="0.3">
      <c r="B136" s="299" t="s">
        <v>278</v>
      </c>
      <c r="C136" s="54">
        <v>1500000</v>
      </c>
      <c r="D136" s="54" t="s">
        <v>158</v>
      </c>
      <c r="E136" s="2">
        <v>45169</v>
      </c>
      <c r="F136" s="2">
        <v>45469</v>
      </c>
      <c r="G136" s="54">
        <f t="shared" ref="G136" si="21">+F136-E136</f>
        <v>300</v>
      </c>
      <c r="H136" s="45">
        <v>0.18</v>
      </c>
      <c r="I136" s="54">
        <f>C136*G136*H136/365</f>
        <v>221917.80821917808</v>
      </c>
      <c r="J136" s="222">
        <f>+I136+C136</f>
        <v>1721917.8082191781</v>
      </c>
    </row>
    <row r="137" spans="2:10" ht="15" thickBot="1" x14ac:dyDescent="0.35">
      <c r="B137" s="344"/>
      <c r="C137" s="232"/>
      <c r="D137" s="232"/>
      <c r="E137" s="141"/>
      <c r="F137" s="141"/>
      <c r="G137" s="232"/>
      <c r="H137" s="345"/>
      <c r="I137" s="232"/>
      <c r="J137" s="281"/>
    </row>
    <row r="138" spans="2:10" s="250" customFormat="1" ht="29.5" thickBot="1" x14ac:dyDescent="0.4">
      <c r="B138" s="349" t="s">
        <v>279</v>
      </c>
      <c r="C138" s="350">
        <f>+SUM(C128:C137)</f>
        <v>11500000</v>
      </c>
      <c r="D138" s="351"/>
      <c r="E138" s="352"/>
      <c r="F138" s="352"/>
      <c r="G138" s="351"/>
      <c r="H138" s="353"/>
      <c r="I138" s="350">
        <f>+SUM(I128:I137)</f>
        <v>3345706.8493150687</v>
      </c>
      <c r="J138" s="354">
        <f>+J134+J132+J129+J136</f>
        <v>14845706.849315068</v>
      </c>
    </row>
    <row r="139" spans="2:10" x14ac:dyDescent="0.35">
      <c r="B139" s="355"/>
      <c r="C139" s="360"/>
      <c r="D139" s="356"/>
      <c r="E139" s="357"/>
      <c r="F139" s="357"/>
      <c r="G139" s="356"/>
      <c r="H139" s="358"/>
      <c r="I139" s="356"/>
      <c r="J139" s="359"/>
    </row>
    <row r="140" spans="2:10" x14ac:dyDescent="0.35">
      <c r="B140" s="361"/>
      <c r="C140" s="347" t="s">
        <v>139</v>
      </c>
      <c r="D140" s="346"/>
      <c r="E140" s="148"/>
      <c r="F140" s="148"/>
      <c r="G140" s="346"/>
      <c r="H140" s="362"/>
      <c r="I140" s="346"/>
      <c r="J140" s="348"/>
    </row>
    <row r="141" spans="2:10" x14ac:dyDescent="0.35">
      <c r="B141" s="299" t="s">
        <v>280</v>
      </c>
      <c r="C141" s="54">
        <v>1500000</v>
      </c>
      <c r="D141" s="54" t="s">
        <v>157</v>
      </c>
      <c r="E141" s="2">
        <v>44905</v>
      </c>
      <c r="F141" s="2">
        <v>45270</v>
      </c>
      <c r="G141" s="54">
        <f t="shared" ref="G141" si="22">+F141-E141</f>
        <v>365</v>
      </c>
      <c r="H141" s="45">
        <v>0.18</v>
      </c>
      <c r="I141" s="54">
        <f>C141*G141*H141/365</f>
        <v>270000</v>
      </c>
      <c r="J141" s="222">
        <f>+I141+C141</f>
        <v>1770000</v>
      </c>
    </row>
    <row r="142" spans="2:10" x14ac:dyDescent="0.35">
      <c r="B142" s="299"/>
      <c r="C142" s="40"/>
      <c r="D142" s="54"/>
      <c r="E142" s="2">
        <f>+F141</f>
        <v>45270</v>
      </c>
      <c r="F142" s="2">
        <v>45469</v>
      </c>
      <c r="G142" s="54">
        <f t="shared" ref="G142" si="23">+F142-E142</f>
        <v>199</v>
      </c>
      <c r="H142" s="45">
        <v>0.18</v>
      </c>
      <c r="I142" s="54">
        <f>J141*G142*H142/365</f>
        <v>173702.46575342465</v>
      </c>
      <c r="J142" s="222">
        <f>+I142+J141</f>
        <v>1943702.4657534247</v>
      </c>
    </row>
    <row r="143" spans="2:10" x14ac:dyDescent="0.35">
      <c r="B143" s="299"/>
      <c r="C143" s="40"/>
      <c r="D143" s="54"/>
      <c r="E143" s="2"/>
      <c r="F143" s="2"/>
      <c r="G143" s="54"/>
      <c r="H143" s="45"/>
      <c r="I143" s="54"/>
      <c r="J143" s="223"/>
    </row>
    <row r="144" spans="2:10" x14ac:dyDescent="0.35">
      <c r="B144" s="299" t="s">
        <v>281</v>
      </c>
      <c r="C144" s="54">
        <v>2500000</v>
      </c>
      <c r="D144" s="54" t="s">
        <v>157</v>
      </c>
      <c r="E144" s="2">
        <v>45112</v>
      </c>
      <c r="F144" s="2">
        <v>45469</v>
      </c>
      <c r="G144" s="54">
        <f t="shared" ref="G144" si="24">+F144-E144</f>
        <v>357</v>
      </c>
      <c r="H144" s="45">
        <v>0.18</v>
      </c>
      <c r="I144" s="54">
        <f>C144*G144*H144/365</f>
        <v>440136.98630136985</v>
      </c>
      <c r="J144" s="222">
        <f>+I144+C144</f>
        <v>2940136.98630137</v>
      </c>
    </row>
    <row r="145" spans="2:12" x14ac:dyDescent="0.35">
      <c r="B145" s="299"/>
      <c r="C145" s="40"/>
      <c r="D145" s="54"/>
      <c r="E145" s="2"/>
      <c r="F145" s="2"/>
      <c r="G145" s="54"/>
      <c r="H145" s="45"/>
      <c r="I145" s="54"/>
      <c r="J145" s="223"/>
    </row>
    <row r="146" spans="2:12" x14ac:dyDescent="0.35">
      <c r="B146" s="299" t="s">
        <v>282</v>
      </c>
      <c r="C146" s="54">
        <v>1000000</v>
      </c>
      <c r="D146" s="54" t="s">
        <v>157</v>
      </c>
      <c r="E146" s="2">
        <v>45124</v>
      </c>
      <c r="F146" s="2">
        <v>45469</v>
      </c>
      <c r="G146" s="54">
        <f t="shared" ref="G146" si="25">+F146-E146</f>
        <v>345</v>
      </c>
      <c r="H146" s="45">
        <v>0.18</v>
      </c>
      <c r="I146" s="54">
        <f>C146*G146*H146/365</f>
        <v>170136.98630136985</v>
      </c>
      <c r="J146" s="222">
        <f>+I146+C146</f>
        <v>1170136.98630137</v>
      </c>
    </row>
    <row r="147" spans="2:12" x14ac:dyDescent="0.35">
      <c r="B147" s="299"/>
      <c r="C147" s="54"/>
      <c r="D147" s="54"/>
      <c r="E147" s="2"/>
      <c r="F147" s="2"/>
      <c r="G147" s="54"/>
      <c r="H147" s="45"/>
      <c r="I147" s="54"/>
      <c r="J147" s="222"/>
    </row>
    <row r="148" spans="2:12" x14ac:dyDescent="0.35">
      <c r="B148" s="299" t="s">
        <v>285</v>
      </c>
      <c r="C148" s="54">
        <v>1500000</v>
      </c>
      <c r="D148" s="54" t="s">
        <v>158</v>
      </c>
      <c r="E148" s="2">
        <v>45135</v>
      </c>
      <c r="F148" s="2">
        <v>45469</v>
      </c>
      <c r="G148" s="54">
        <f t="shared" ref="G148" si="26">+F148-E148</f>
        <v>334</v>
      </c>
      <c r="H148" s="45">
        <v>0.18</v>
      </c>
      <c r="I148" s="54">
        <f>C148*G148*H148/365</f>
        <v>247068.49315068492</v>
      </c>
      <c r="J148" s="222">
        <f>+I148+C148</f>
        <v>1747068.493150685</v>
      </c>
    </row>
    <row r="149" spans="2:12" x14ac:dyDescent="0.35">
      <c r="B149" s="299"/>
      <c r="C149" s="40"/>
      <c r="D149" s="54"/>
      <c r="E149" s="2"/>
      <c r="F149" s="2"/>
      <c r="G149" s="54"/>
      <c r="H149" s="45"/>
      <c r="I149" s="54"/>
      <c r="J149" s="223"/>
    </row>
    <row r="150" spans="2:12" x14ac:dyDescent="0.35">
      <c r="B150" s="299" t="s">
        <v>283</v>
      </c>
      <c r="C150" s="54">
        <v>3000000</v>
      </c>
      <c r="D150" s="54" t="s">
        <v>157</v>
      </c>
      <c r="E150" s="2">
        <v>45315</v>
      </c>
      <c r="F150" s="2">
        <v>45469</v>
      </c>
      <c r="G150" s="54">
        <f t="shared" ref="G150" si="27">+F150-E150</f>
        <v>154</v>
      </c>
      <c r="H150" s="45">
        <v>0.18</v>
      </c>
      <c r="I150" s="54">
        <f>C150*G150*H150/365</f>
        <v>227835.61643835617</v>
      </c>
      <c r="J150" s="222">
        <f>+I150+C150</f>
        <v>3227835.6164383562</v>
      </c>
    </row>
    <row r="151" spans="2:12" ht="15" thickBot="1" x14ac:dyDescent="0.4">
      <c r="B151" s="299"/>
      <c r="C151" s="40"/>
      <c r="D151" s="54"/>
      <c r="E151" s="2"/>
      <c r="F151" s="2"/>
      <c r="G151" s="54"/>
      <c r="H151" s="45"/>
      <c r="I151" s="54"/>
      <c r="J151" s="223"/>
    </row>
    <row r="152" spans="2:12" s="250" customFormat="1" ht="29.5" thickBot="1" x14ac:dyDescent="0.4">
      <c r="B152" s="349" t="s">
        <v>284</v>
      </c>
      <c r="C152" s="350">
        <f>+SUM(C141:C151)</f>
        <v>9500000</v>
      </c>
      <c r="D152" s="351"/>
      <c r="E152" s="352"/>
      <c r="F152" s="352"/>
      <c r="G152" s="351"/>
      <c r="H152" s="353"/>
      <c r="I152" s="350">
        <f>+SUM(I141:I151)</f>
        <v>1528880.5479452056</v>
      </c>
      <c r="J152" s="354">
        <f>+J150+J146+J144+J142</f>
        <v>9281812.0547945201</v>
      </c>
      <c r="K152" s="363"/>
    </row>
    <row r="153" spans="2:12" x14ac:dyDescent="0.35">
      <c r="B153" s="674" t="s">
        <v>39</v>
      </c>
      <c r="C153" s="675"/>
      <c r="D153" s="675"/>
      <c r="E153" s="675"/>
      <c r="F153" s="675"/>
      <c r="G153" s="675"/>
      <c r="H153" s="675"/>
      <c r="I153" s="360">
        <f>+I138-I152</f>
        <v>1816826.3013698631</v>
      </c>
      <c r="J153" s="364"/>
    </row>
    <row r="154" spans="2:12" ht="15" thickBot="1" x14ac:dyDescent="0.4">
      <c r="B154" s="676" t="s">
        <v>44</v>
      </c>
      <c r="C154" s="677"/>
      <c r="D154" s="677"/>
      <c r="E154" s="677"/>
      <c r="F154" s="677"/>
      <c r="G154" s="677"/>
      <c r="H154" s="677"/>
      <c r="I154" s="230">
        <f>+C138-C152</f>
        <v>2000000</v>
      </c>
      <c r="J154" s="281"/>
    </row>
    <row r="155" spans="2:12" ht="19" thickBot="1" x14ac:dyDescent="0.5">
      <c r="B155" s="672" t="s">
        <v>40</v>
      </c>
      <c r="C155" s="673"/>
      <c r="D155" s="673"/>
      <c r="E155" s="673"/>
      <c r="F155" s="673"/>
      <c r="G155" s="673"/>
      <c r="H155" s="673"/>
      <c r="I155" s="365">
        <f>SUM(I153:I154)</f>
        <v>3816826.3013698631</v>
      </c>
      <c r="J155" s="366"/>
      <c r="L155" s="14">
        <f>+J138-J152</f>
        <v>5563894.7945205476</v>
      </c>
    </row>
  </sheetData>
  <mergeCells count="53">
    <mergeCell ref="C108:D108"/>
    <mergeCell ref="E108:F108"/>
    <mergeCell ref="E103:F103"/>
    <mergeCell ref="C105:D105"/>
    <mergeCell ref="C106:D106"/>
    <mergeCell ref="E105:F105"/>
    <mergeCell ref="E106:F106"/>
    <mergeCell ref="C103:D103"/>
    <mergeCell ref="C100:D100"/>
    <mergeCell ref="C101:D101"/>
    <mergeCell ref="E99:F99"/>
    <mergeCell ref="E100:F100"/>
    <mergeCell ref="E101:F101"/>
    <mergeCell ref="B91:I91"/>
    <mergeCell ref="C96:G96"/>
    <mergeCell ref="C99:D99"/>
    <mergeCell ref="B62:I62"/>
    <mergeCell ref="C70:G70"/>
    <mergeCell ref="C71:G71"/>
    <mergeCell ref="C72:G72"/>
    <mergeCell ref="B76:I76"/>
    <mergeCell ref="C83:G83"/>
    <mergeCell ref="C84:G84"/>
    <mergeCell ref="C85:G85"/>
    <mergeCell ref="C53:G53"/>
    <mergeCell ref="C39:G39"/>
    <mergeCell ref="C40:G40"/>
    <mergeCell ref="K2:R2"/>
    <mergeCell ref="K3:R3"/>
    <mergeCell ref="L11:P11"/>
    <mergeCell ref="L12:P12"/>
    <mergeCell ref="L13:P13"/>
    <mergeCell ref="C41:G41"/>
    <mergeCell ref="B44:I44"/>
    <mergeCell ref="C51:G51"/>
    <mergeCell ref="C52:G52"/>
    <mergeCell ref="C23:G23"/>
    <mergeCell ref="C24:G24"/>
    <mergeCell ref="C25:G25"/>
    <mergeCell ref="B30:I30"/>
    <mergeCell ref="B31:I31"/>
    <mergeCell ref="B16:I16"/>
    <mergeCell ref="B2:I2"/>
    <mergeCell ref="B3:I3"/>
    <mergeCell ref="C11:G11"/>
    <mergeCell ref="C12:G12"/>
    <mergeCell ref="C13:G13"/>
    <mergeCell ref="B155:H155"/>
    <mergeCell ref="B125:J125"/>
    <mergeCell ref="B153:H153"/>
    <mergeCell ref="B154:H154"/>
    <mergeCell ref="B114:I114"/>
    <mergeCell ref="C120:G120"/>
  </mergeCells>
  <printOptions horizontalCentered="1"/>
  <pageMargins left="0.7" right="0.7" top="0.42" bottom="0.33" header="0.3" footer="0.24"/>
  <pageSetup paperSize="9" scale="3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90"/>
  <sheetViews>
    <sheetView topLeftCell="A49" workbookViewId="0">
      <selection activeCell="B47" sqref="B47:I69"/>
    </sheetView>
  </sheetViews>
  <sheetFormatPr defaultRowHeight="14.5" x14ac:dyDescent="0.35"/>
  <cols>
    <col min="1" max="1" width="5.90625" customWidth="1"/>
    <col min="2" max="2" width="9.90625" bestFit="1" customWidth="1"/>
    <col min="4" max="5" width="10.08984375" bestFit="1" customWidth="1"/>
    <col min="9" max="9" width="9.90625" customWidth="1"/>
    <col min="10" max="10" width="6.81640625" customWidth="1"/>
  </cols>
  <sheetData>
    <row r="1" spans="2:9" ht="18.5" x14ac:dyDescent="0.45">
      <c r="B1" s="511" t="s">
        <v>116</v>
      </c>
      <c r="C1" s="512"/>
      <c r="D1" s="512"/>
      <c r="E1" s="512"/>
      <c r="F1" s="512"/>
      <c r="G1" s="512"/>
      <c r="H1" s="512"/>
      <c r="I1" s="513"/>
    </row>
    <row r="2" spans="2:9" x14ac:dyDescent="0.35">
      <c r="B2" s="105"/>
      <c r="I2" s="107"/>
    </row>
    <row r="3" spans="2:9" ht="29" x14ac:dyDescent="0.35">
      <c r="B3" s="81" t="s">
        <v>1</v>
      </c>
      <c r="C3" s="41" t="s">
        <v>7</v>
      </c>
      <c r="D3" s="41" t="s">
        <v>2</v>
      </c>
      <c r="E3" s="41" t="s">
        <v>3</v>
      </c>
      <c r="F3" s="41" t="s">
        <v>4</v>
      </c>
      <c r="G3" s="41" t="s">
        <v>24</v>
      </c>
      <c r="H3" s="41" t="s">
        <v>6</v>
      </c>
      <c r="I3" s="82" t="s">
        <v>25</v>
      </c>
    </row>
    <row r="4" spans="2:9" x14ac:dyDescent="0.35">
      <c r="B4" s="83"/>
      <c r="C4" s="12" t="s">
        <v>8</v>
      </c>
      <c r="D4" s="1"/>
      <c r="E4" s="1"/>
      <c r="F4" s="1"/>
      <c r="G4" s="1"/>
      <c r="H4" s="1"/>
      <c r="I4" s="84"/>
    </row>
    <row r="5" spans="2:9" x14ac:dyDescent="0.35">
      <c r="B5" s="85">
        <v>43469</v>
      </c>
      <c r="C5" s="1">
        <v>300000</v>
      </c>
      <c r="D5" s="2">
        <v>43469</v>
      </c>
      <c r="E5" s="2">
        <v>43833</v>
      </c>
      <c r="F5" s="59">
        <v>365</v>
      </c>
      <c r="G5" s="4">
        <v>0.18</v>
      </c>
      <c r="H5" s="5">
        <f>C5*F5*G5/365</f>
        <v>54000</v>
      </c>
      <c r="I5" s="86">
        <f>+C5+H5</f>
        <v>354000</v>
      </c>
    </row>
    <row r="6" spans="2:9" x14ac:dyDescent="0.35">
      <c r="B6" s="87"/>
      <c r="C6" s="5">
        <f>+I5</f>
        <v>354000</v>
      </c>
      <c r="D6" s="2">
        <v>43834</v>
      </c>
      <c r="E6" s="2">
        <v>44199</v>
      </c>
      <c r="F6" s="58">
        <f>+E6-D6</f>
        <v>365</v>
      </c>
      <c r="G6" s="4">
        <v>0.18</v>
      </c>
      <c r="H6" s="5">
        <f>I5*F6*G6/365</f>
        <v>63720</v>
      </c>
      <c r="I6" s="88">
        <f>+I5+H6</f>
        <v>417720</v>
      </c>
    </row>
    <row r="7" spans="2:9" x14ac:dyDescent="0.35">
      <c r="B7" s="87"/>
      <c r="C7" s="5">
        <f>+I6</f>
        <v>417720</v>
      </c>
      <c r="D7" s="2">
        <v>44200</v>
      </c>
      <c r="E7" s="2">
        <v>44249</v>
      </c>
      <c r="F7" s="58">
        <f>+E7-D7</f>
        <v>49</v>
      </c>
      <c r="G7" s="4">
        <v>0.18</v>
      </c>
      <c r="H7" s="5">
        <f>I6*F7*G7/365</f>
        <v>10093.946301369862</v>
      </c>
      <c r="I7" s="110">
        <f>+I6+H7</f>
        <v>427813.94630136987</v>
      </c>
    </row>
    <row r="8" spans="2:9" x14ac:dyDescent="0.35">
      <c r="B8" s="87"/>
      <c r="C8" s="5"/>
      <c r="D8" s="2"/>
      <c r="E8" s="2"/>
      <c r="F8" s="58"/>
      <c r="G8" s="4"/>
      <c r="H8" s="5"/>
      <c r="I8" s="88"/>
    </row>
    <row r="9" spans="2:9" x14ac:dyDescent="0.35">
      <c r="B9" s="87"/>
      <c r="C9" s="5"/>
      <c r="D9" s="2"/>
      <c r="E9" s="2"/>
      <c r="F9" s="56"/>
      <c r="G9" s="4"/>
      <c r="H9" s="8">
        <f>+SUM(H5:H7)</f>
        <v>127813.94630136987</v>
      </c>
      <c r="I9" s="86"/>
    </row>
    <row r="10" spans="2:9" x14ac:dyDescent="0.35">
      <c r="B10" s="87"/>
      <c r="C10" s="5"/>
      <c r="D10" s="2"/>
      <c r="E10" s="2"/>
      <c r="F10" s="3"/>
      <c r="G10" s="4"/>
      <c r="H10" s="8"/>
      <c r="I10" s="86"/>
    </row>
    <row r="11" spans="2:9" x14ac:dyDescent="0.35">
      <c r="B11" s="85"/>
      <c r="C11" s="514" t="s">
        <v>42</v>
      </c>
      <c r="D11" s="515"/>
      <c r="E11" s="515"/>
      <c r="F11" s="515"/>
      <c r="G11" s="516"/>
      <c r="H11" s="8">
        <f>+H9</f>
        <v>127813.94630136987</v>
      </c>
      <c r="I11" s="86"/>
    </row>
    <row r="12" spans="2:9" x14ac:dyDescent="0.35">
      <c r="B12" s="85"/>
      <c r="C12" s="514" t="s">
        <v>43</v>
      </c>
      <c r="D12" s="515"/>
      <c r="E12" s="515"/>
      <c r="F12" s="515"/>
      <c r="G12" s="516"/>
      <c r="H12" s="8">
        <f>+C5</f>
        <v>300000</v>
      </c>
      <c r="I12" s="86"/>
    </row>
    <row r="13" spans="2:9" ht="15" thickBot="1" x14ac:dyDescent="0.4">
      <c r="B13" s="108"/>
      <c r="C13" s="517" t="s">
        <v>58</v>
      </c>
      <c r="D13" s="518"/>
      <c r="E13" s="518"/>
      <c r="F13" s="518"/>
      <c r="G13" s="519"/>
      <c r="H13" s="90">
        <f>SUM(H11:H12)</f>
        <v>427813.94630136987</v>
      </c>
      <c r="I13" s="91" t="s">
        <v>131</v>
      </c>
    </row>
    <row r="14" spans="2:9" ht="15" thickBot="1" x14ac:dyDescent="0.4"/>
    <row r="15" spans="2:9" ht="18.5" x14ac:dyDescent="0.45">
      <c r="B15" s="511" t="s">
        <v>116</v>
      </c>
      <c r="C15" s="512"/>
      <c r="D15" s="512"/>
      <c r="E15" s="512"/>
      <c r="F15" s="512"/>
      <c r="G15" s="512"/>
      <c r="H15" s="512"/>
      <c r="I15" s="513"/>
    </row>
    <row r="16" spans="2:9" x14ac:dyDescent="0.35">
      <c r="B16" s="105"/>
      <c r="I16" s="107"/>
    </row>
    <row r="17" spans="2:9" ht="29" x14ac:dyDescent="0.35">
      <c r="B17" s="81" t="s">
        <v>1</v>
      </c>
      <c r="C17" s="41" t="s">
        <v>7</v>
      </c>
      <c r="D17" s="41" t="s">
        <v>2</v>
      </c>
      <c r="E17" s="41" t="s">
        <v>3</v>
      </c>
      <c r="F17" s="41" t="s">
        <v>4</v>
      </c>
      <c r="G17" s="41" t="s">
        <v>24</v>
      </c>
      <c r="H17" s="41" t="s">
        <v>6</v>
      </c>
      <c r="I17" s="82" t="s">
        <v>25</v>
      </c>
    </row>
    <row r="18" spans="2:9" x14ac:dyDescent="0.35">
      <c r="B18" s="83"/>
      <c r="C18" s="12" t="s">
        <v>8</v>
      </c>
      <c r="D18" s="1"/>
      <c r="E18" s="1"/>
      <c r="F18" s="1"/>
      <c r="G18" s="1"/>
      <c r="H18" s="1"/>
      <c r="I18" s="84"/>
    </row>
    <row r="19" spans="2:9" x14ac:dyDescent="0.35">
      <c r="B19" s="85">
        <v>44250</v>
      </c>
      <c r="C19" s="1">
        <v>142600</v>
      </c>
      <c r="D19" s="2">
        <v>44250</v>
      </c>
      <c r="E19" s="2">
        <v>44377</v>
      </c>
      <c r="F19" s="59">
        <f>+E19-D19</f>
        <v>127</v>
      </c>
      <c r="G19" s="4">
        <v>0.18</v>
      </c>
      <c r="H19" s="5">
        <f>C19*F19*G19/365</f>
        <v>8931.0575342465745</v>
      </c>
      <c r="I19" s="86">
        <f>+C19+H19</f>
        <v>151531.05753424659</v>
      </c>
    </row>
    <row r="20" spans="2:9" x14ac:dyDescent="0.35">
      <c r="B20" s="87"/>
      <c r="C20" s="5"/>
      <c r="D20" s="2"/>
      <c r="E20" s="2"/>
      <c r="F20" s="58"/>
      <c r="G20" s="4"/>
      <c r="H20" s="5"/>
      <c r="I20" s="88"/>
    </row>
    <row r="21" spans="2:9" x14ac:dyDescent="0.35">
      <c r="B21" s="87"/>
      <c r="C21" s="5"/>
      <c r="D21" s="2"/>
      <c r="E21" s="2"/>
      <c r="F21" s="56"/>
      <c r="G21" s="4"/>
      <c r="H21" s="8">
        <f>+SUM(H19:H19)</f>
        <v>8931.0575342465745</v>
      </c>
      <c r="I21" s="86"/>
    </row>
    <row r="22" spans="2:9" x14ac:dyDescent="0.35">
      <c r="B22" s="87"/>
      <c r="C22" s="5"/>
      <c r="D22" s="2"/>
      <c r="E22" s="2"/>
      <c r="F22" s="3"/>
      <c r="G22" s="4"/>
      <c r="H22" s="8"/>
      <c r="I22" s="86"/>
    </row>
    <row r="23" spans="2:9" x14ac:dyDescent="0.35">
      <c r="B23" s="85"/>
      <c r="C23" s="514" t="s">
        <v>42</v>
      </c>
      <c r="D23" s="515"/>
      <c r="E23" s="515"/>
      <c r="F23" s="515"/>
      <c r="G23" s="516"/>
      <c r="H23" s="8">
        <f>+H21</f>
        <v>8931.0575342465745</v>
      </c>
      <c r="I23" s="86"/>
    </row>
    <row r="24" spans="2:9" x14ac:dyDescent="0.35">
      <c r="B24" s="85"/>
      <c r="C24" s="514" t="s">
        <v>43</v>
      </c>
      <c r="D24" s="515"/>
      <c r="E24" s="515"/>
      <c r="F24" s="515"/>
      <c r="G24" s="516"/>
      <c r="H24" s="8">
        <f>+C19</f>
        <v>142600</v>
      </c>
      <c r="I24" s="86"/>
    </row>
    <row r="25" spans="2:9" ht="15" thickBot="1" x14ac:dyDescent="0.4">
      <c r="B25" s="108"/>
      <c r="C25" s="517" t="s">
        <v>58</v>
      </c>
      <c r="D25" s="518"/>
      <c r="E25" s="518"/>
      <c r="F25" s="518"/>
      <c r="G25" s="519"/>
      <c r="H25" s="90">
        <f>SUM(H23:H24)</f>
        <v>151531.05753424659</v>
      </c>
      <c r="I25" s="109"/>
    </row>
    <row r="30" spans="2:9" ht="15" thickBot="1" x14ac:dyDescent="0.4"/>
    <row r="31" spans="2:9" ht="19" thickBot="1" x14ac:dyDescent="0.5">
      <c r="B31" s="582" t="s">
        <v>338</v>
      </c>
      <c r="C31" s="583"/>
      <c r="D31" s="583"/>
      <c r="E31" s="583"/>
      <c r="F31" s="583"/>
      <c r="G31" s="583"/>
      <c r="H31" s="583"/>
      <c r="I31" s="584"/>
    </row>
    <row r="32" spans="2:9" ht="29.5" thickBot="1" x14ac:dyDescent="0.4">
      <c r="B32" s="168" t="s">
        <v>1</v>
      </c>
      <c r="C32" s="169" t="s">
        <v>7</v>
      </c>
      <c r="D32" s="169" t="s">
        <v>2</v>
      </c>
      <c r="E32" s="169" t="s">
        <v>3</v>
      </c>
      <c r="F32" s="169" t="s">
        <v>4</v>
      </c>
      <c r="G32" s="169" t="s">
        <v>24</v>
      </c>
      <c r="H32" s="169" t="s">
        <v>6</v>
      </c>
      <c r="I32" s="170" t="s">
        <v>25</v>
      </c>
    </row>
    <row r="33" spans="2:9" x14ac:dyDescent="0.35">
      <c r="B33" s="300"/>
      <c r="C33" s="335" t="s">
        <v>8</v>
      </c>
      <c r="D33" s="167"/>
      <c r="E33" s="167"/>
      <c r="F33" s="167"/>
      <c r="G33" s="167"/>
      <c r="H33" s="167"/>
      <c r="I33" s="130"/>
    </row>
    <row r="34" spans="2:9" x14ac:dyDescent="0.35">
      <c r="B34" s="85" t="s">
        <v>337</v>
      </c>
      <c r="C34" s="1">
        <v>300000</v>
      </c>
      <c r="D34" s="2">
        <v>44946</v>
      </c>
      <c r="E34" s="2">
        <v>45311</v>
      </c>
      <c r="F34" s="59">
        <v>365</v>
      </c>
      <c r="G34" s="4">
        <v>0.18</v>
      </c>
      <c r="H34" s="5">
        <f>C34*F34*G34/365</f>
        <v>54000</v>
      </c>
      <c r="I34" s="86">
        <f>+C34+H34</f>
        <v>354000</v>
      </c>
    </row>
    <row r="35" spans="2:9" x14ac:dyDescent="0.35">
      <c r="B35" s="87"/>
      <c r="C35" s="5">
        <f>+I34</f>
        <v>354000</v>
      </c>
      <c r="D35" s="2">
        <f>E34</f>
        <v>45311</v>
      </c>
      <c r="E35" s="2">
        <v>45676</v>
      </c>
      <c r="F35" s="58">
        <f>+E35-D35</f>
        <v>365</v>
      </c>
      <c r="G35" s="4">
        <v>0.18</v>
      </c>
      <c r="H35" s="5">
        <f>I34*F35*G35/365</f>
        <v>63720</v>
      </c>
      <c r="I35" s="88">
        <f>+I34+H35</f>
        <v>417720</v>
      </c>
    </row>
    <row r="36" spans="2:9" x14ac:dyDescent="0.35">
      <c r="B36" s="87"/>
      <c r="C36" s="5">
        <f>+I35</f>
        <v>417720</v>
      </c>
      <c r="D36" s="2">
        <f>+E35</f>
        <v>45676</v>
      </c>
      <c r="E36" s="2">
        <v>45754</v>
      </c>
      <c r="F36" s="58">
        <f>+E36-D36</f>
        <v>78</v>
      </c>
      <c r="G36" s="4">
        <v>0.18</v>
      </c>
      <c r="H36" s="5">
        <f>I35*F36*G36/365</f>
        <v>16067.914520547945</v>
      </c>
      <c r="I36" s="110">
        <f>+I35+H36</f>
        <v>433787.91452054796</v>
      </c>
    </row>
    <row r="37" spans="2:9" x14ac:dyDescent="0.35">
      <c r="B37" s="87"/>
      <c r="C37" s="5"/>
      <c r="D37" s="2"/>
      <c r="E37" s="2"/>
      <c r="F37" s="58"/>
      <c r="G37" s="4"/>
      <c r="H37" s="5"/>
      <c r="I37" s="88"/>
    </row>
    <row r="38" spans="2:9" x14ac:dyDescent="0.35">
      <c r="B38" s="87"/>
      <c r="C38" s="5"/>
      <c r="D38" s="2"/>
      <c r="E38" s="2"/>
      <c r="F38" s="56"/>
      <c r="G38" s="4"/>
      <c r="H38" s="8"/>
      <c r="I38" s="86"/>
    </row>
    <row r="39" spans="2:9" ht="15" thickBot="1" x14ac:dyDescent="0.4">
      <c r="B39" s="377"/>
      <c r="C39" s="144"/>
      <c r="D39" s="141"/>
      <c r="E39" s="141"/>
      <c r="F39" s="287"/>
      <c r="G39" s="143"/>
      <c r="H39" s="120"/>
      <c r="I39" s="121"/>
    </row>
    <row r="40" spans="2:9" ht="15" thickBot="1" x14ac:dyDescent="0.4">
      <c r="B40" s="440"/>
      <c r="C40" s="591" t="s">
        <v>42</v>
      </c>
      <c r="D40" s="690"/>
      <c r="E40" s="690"/>
      <c r="F40" s="690"/>
      <c r="G40" s="592"/>
      <c r="H40" s="288">
        <f>SUM(H34:H39)</f>
        <v>133787.91452054796</v>
      </c>
      <c r="I40" s="215"/>
    </row>
    <row r="41" spans="2:9" ht="15" thickBot="1" x14ac:dyDescent="0.4">
      <c r="B41" s="412"/>
      <c r="C41" s="691" t="s">
        <v>43</v>
      </c>
      <c r="D41" s="553"/>
      <c r="E41" s="553"/>
      <c r="F41" s="553"/>
      <c r="G41" s="692"/>
      <c r="H41" s="413">
        <f>+C34</f>
        <v>300000</v>
      </c>
      <c r="I41" s="414"/>
    </row>
    <row r="42" spans="2:9" ht="15" thickBot="1" x14ac:dyDescent="0.4">
      <c r="B42" s="409"/>
      <c r="C42" s="591" t="s">
        <v>58</v>
      </c>
      <c r="D42" s="690"/>
      <c r="E42" s="690"/>
      <c r="F42" s="690"/>
      <c r="G42" s="592"/>
      <c r="H42" s="122">
        <f>SUM(H40:H41)</f>
        <v>433787.91452054796</v>
      </c>
      <c r="I42" s="124"/>
    </row>
    <row r="46" spans="2:9" ht="15" thickBot="1" x14ac:dyDescent="0.4"/>
    <row r="47" spans="2:9" ht="19" thickBot="1" x14ac:dyDescent="0.5">
      <c r="B47" s="582" t="s">
        <v>338</v>
      </c>
      <c r="C47" s="583"/>
      <c r="D47" s="583"/>
      <c r="E47" s="583"/>
      <c r="F47" s="583"/>
      <c r="G47" s="583"/>
      <c r="H47" s="583"/>
      <c r="I47" s="584"/>
    </row>
    <row r="48" spans="2:9" ht="29.5" thickBot="1" x14ac:dyDescent="0.4">
      <c r="B48" s="168" t="s">
        <v>1</v>
      </c>
      <c r="C48" s="169" t="s">
        <v>7</v>
      </c>
      <c r="D48" s="169" t="s">
        <v>2</v>
      </c>
      <c r="E48" s="169" t="s">
        <v>3</v>
      </c>
      <c r="F48" s="169" t="s">
        <v>4</v>
      </c>
      <c r="G48" s="169" t="s">
        <v>24</v>
      </c>
      <c r="H48" s="169" t="s">
        <v>6</v>
      </c>
      <c r="I48" s="170" t="s">
        <v>25</v>
      </c>
    </row>
    <row r="49" spans="2:13" x14ac:dyDescent="0.35">
      <c r="B49" s="300"/>
      <c r="C49" s="335" t="s">
        <v>8</v>
      </c>
      <c r="D49" s="167"/>
      <c r="E49" s="167"/>
      <c r="F49" s="167"/>
      <c r="G49" s="167"/>
      <c r="H49" s="167"/>
      <c r="I49" s="130"/>
    </row>
    <row r="50" spans="2:13" x14ac:dyDescent="0.35">
      <c r="B50" s="85" t="s">
        <v>339</v>
      </c>
      <c r="C50" s="1">
        <v>4000000</v>
      </c>
      <c r="D50" s="2">
        <v>45566</v>
      </c>
      <c r="E50" s="2">
        <v>45819</v>
      </c>
      <c r="F50" s="59">
        <f>E50-D50</f>
        <v>253</v>
      </c>
      <c r="G50" s="4">
        <v>0.18</v>
      </c>
      <c r="H50" s="5">
        <f>C50*F50*G50/365</f>
        <v>499068.49315068492</v>
      </c>
      <c r="I50" s="86">
        <f>+C50+H50</f>
        <v>4499068.493150685</v>
      </c>
    </row>
    <row r="51" spans="2:13" x14ac:dyDescent="0.35">
      <c r="B51" s="87" t="s">
        <v>340</v>
      </c>
      <c r="C51" s="5">
        <v>1500000</v>
      </c>
      <c r="D51" s="2">
        <v>45597</v>
      </c>
      <c r="E51" s="2">
        <v>45819</v>
      </c>
      <c r="F51" s="59">
        <f>E51-D51</f>
        <v>222</v>
      </c>
      <c r="G51" s="4">
        <v>0.18</v>
      </c>
      <c r="H51" s="5">
        <f>C51*F51*G51/365</f>
        <v>164219.17808219179</v>
      </c>
      <c r="I51" s="88">
        <f>+H51+C51</f>
        <v>1664219.1780821919</v>
      </c>
    </row>
    <row r="52" spans="2:13" x14ac:dyDescent="0.35">
      <c r="B52" s="87" t="s">
        <v>342</v>
      </c>
      <c r="C52" s="5">
        <v>1100000</v>
      </c>
      <c r="D52" s="2">
        <v>45764</v>
      </c>
      <c r="E52" s="2">
        <v>45819</v>
      </c>
      <c r="F52" s="59">
        <f t="shared" ref="F52:F54" si="0">E52-D52</f>
        <v>55</v>
      </c>
      <c r="G52" s="4">
        <v>0.18</v>
      </c>
      <c r="H52" s="5">
        <f>C52*F52*G52/365</f>
        <v>29835.616438356163</v>
      </c>
      <c r="I52" s="88">
        <f>+H52+C52</f>
        <v>1129835.6164383562</v>
      </c>
    </row>
    <row r="53" spans="2:13" x14ac:dyDescent="0.35">
      <c r="B53" s="87" t="s">
        <v>343</v>
      </c>
      <c r="C53" s="5">
        <v>700000</v>
      </c>
      <c r="D53" s="2">
        <v>45768</v>
      </c>
      <c r="E53" s="2">
        <v>45819</v>
      </c>
      <c r="F53" s="59">
        <f t="shared" si="0"/>
        <v>51</v>
      </c>
      <c r="G53" s="4">
        <v>0.18</v>
      </c>
      <c r="H53" s="5">
        <f t="shared" ref="H53:H54" si="1">C53*F53*G53/365</f>
        <v>17605.479452054795</v>
      </c>
      <c r="I53" s="88">
        <f t="shared" ref="I53:I54" si="2">+H53+C53</f>
        <v>717605.47945205483</v>
      </c>
    </row>
    <row r="54" spans="2:13" x14ac:dyDescent="0.35">
      <c r="B54" s="87" t="s">
        <v>344</v>
      </c>
      <c r="C54" s="5">
        <v>350000</v>
      </c>
      <c r="D54" s="2">
        <v>45770</v>
      </c>
      <c r="E54" s="2">
        <v>45819</v>
      </c>
      <c r="F54" s="59">
        <f t="shared" si="0"/>
        <v>49</v>
      </c>
      <c r="G54" s="4">
        <v>0.18</v>
      </c>
      <c r="H54" s="5">
        <f t="shared" si="1"/>
        <v>8457.534246575342</v>
      </c>
      <c r="I54" s="88">
        <f t="shared" si="2"/>
        <v>358457.53424657532</v>
      </c>
    </row>
    <row r="55" spans="2:13" x14ac:dyDescent="0.35">
      <c r="B55" s="87"/>
      <c r="C55" s="5"/>
      <c r="D55" s="2"/>
      <c r="E55" s="2"/>
      <c r="F55" s="58"/>
      <c r="G55" s="4"/>
      <c r="H55" s="5"/>
      <c r="I55" s="88"/>
    </row>
    <row r="56" spans="2:13" x14ac:dyDescent="0.35">
      <c r="B56" s="87"/>
      <c r="C56" s="5"/>
      <c r="D56" s="2"/>
      <c r="E56" s="2"/>
      <c r="F56" s="56"/>
      <c r="G56" s="4"/>
      <c r="H56" s="8"/>
      <c r="I56" s="86"/>
    </row>
    <row r="57" spans="2:13" ht="15" thickBot="1" x14ac:dyDescent="0.4">
      <c r="B57" s="377"/>
      <c r="C57" s="144"/>
      <c r="D57" s="141"/>
      <c r="E57" s="141"/>
      <c r="F57" s="287"/>
      <c r="G57" s="143"/>
      <c r="H57" s="120"/>
      <c r="I57" s="121"/>
      <c r="M57" t="s">
        <v>348</v>
      </c>
    </row>
    <row r="58" spans="2:13" ht="15" thickBot="1" x14ac:dyDescent="0.4">
      <c r="B58" s="440"/>
      <c r="C58" s="591" t="s">
        <v>42</v>
      </c>
      <c r="D58" s="690"/>
      <c r="E58" s="690"/>
      <c r="F58" s="690"/>
      <c r="G58" s="592"/>
      <c r="H58" s="288">
        <f>SUM(H50:H57)</f>
        <v>719186.30136986298</v>
      </c>
      <c r="I58" s="215"/>
    </row>
    <row r="59" spans="2:13" ht="15" thickBot="1" x14ac:dyDescent="0.4">
      <c r="B59" s="412"/>
      <c r="C59" s="691" t="s">
        <v>43</v>
      </c>
      <c r="D59" s="553"/>
      <c r="E59" s="553"/>
      <c r="F59" s="553"/>
      <c r="G59" s="692"/>
      <c r="H59" s="413">
        <f>+SUM(C50:C57)</f>
        <v>7650000</v>
      </c>
      <c r="I59" s="414"/>
    </row>
    <row r="60" spans="2:13" ht="15" thickBot="1" x14ac:dyDescent="0.4">
      <c r="B60" s="439"/>
      <c r="C60" s="693" t="s">
        <v>58</v>
      </c>
      <c r="D60" s="694"/>
      <c r="E60" s="694"/>
      <c r="F60" s="694"/>
      <c r="G60" s="695"/>
      <c r="H60" s="442">
        <f>SUM(H58:H59)</f>
        <v>8369186.3013698626</v>
      </c>
      <c r="I60" s="441"/>
    </row>
    <row r="61" spans="2:13" ht="15" thickBot="1" x14ac:dyDescent="0.4">
      <c r="B61" s="439"/>
      <c r="C61" s="685" t="s">
        <v>341</v>
      </c>
      <c r="D61" s="685"/>
      <c r="E61" s="685"/>
      <c r="F61" s="685"/>
      <c r="G61" s="685"/>
      <c r="H61" s="336">
        <v>5500000</v>
      </c>
      <c r="I61" s="337"/>
    </row>
    <row r="62" spans="2:13" ht="15" thickBot="1" x14ac:dyDescent="0.4">
      <c r="B62" s="439"/>
      <c r="C62" s="685" t="s">
        <v>345</v>
      </c>
      <c r="D62" s="685"/>
      <c r="E62" s="685"/>
      <c r="F62" s="685"/>
      <c r="G62" s="685"/>
      <c r="H62" s="444">
        <f>+H67</f>
        <v>189863.01369863015</v>
      </c>
      <c r="I62" s="337"/>
    </row>
    <row r="63" spans="2:13" ht="16" thickBot="1" x14ac:dyDescent="0.4">
      <c r="B63" s="123"/>
      <c r="C63" s="536" t="s">
        <v>335</v>
      </c>
      <c r="D63" s="536"/>
      <c r="E63" s="536"/>
      <c r="F63" s="536"/>
      <c r="G63" s="536"/>
      <c r="H63" s="443">
        <f>+H60-H61-H62</f>
        <v>2679323.2876712326</v>
      </c>
      <c r="I63" s="124"/>
    </row>
    <row r="65" spans="2:9" ht="15" thickBot="1" x14ac:dyDescent="0.4">
      <c r="B65" s="689" t="s">
        <v>347</v>
      </c>
      <c r="C65" s="689"/>
      <c r="D65" s="689"/>
      <c r="E65" s="689"/>
      <c r="F65" s="689"/>
      <c r="G65" s="689"/>
      <c r="H65" s="689"/>
      <c r="I65" s="689"/>
    </row>
    <row r="66" spans="2:9" x14ac:dyDescent="0.35">
      <c r="B66" s="334"/>
      <c r="C66" s="177"/>
      <c r="D66" s="177"/>
      <c r="E66" s="177"/>
      <c r="F66" s="177"/>
      <c r="G66" s="177"/>
      <c r="H66" s="177"/>
      <c r="I66" s="178"/>
    </row>
    <row r="67" spans="2:9" x14ac:dyDescent="0.35">
      <c r="B67" s="85" t="s">
        <v>346</v>
      </c>
      <c r="C67" s="1">
        <v>5500000</v>
      </c>
      <c r="D67" s="2">
        <v>45749</v>
      </c>
      <c r="E67" s="2">
        <v>45819</v>
      </c>
      <c r="F67" s="59">
        <f>E67-D67</f>
        <v>70</v>
      </c>
      <c r="G67" s="4">
        <v>0.18</v>
      </c>
      <c r="H67" s="5">
        <f>C67*F67*G67/365</f>
        <v>189863.01369863015</v>
      </c>
      <c r="I67" s="86">
        <f>+C67+H67</f>
        <v>5689863.01369863</v>
      </c>
    </row>
    <row r="68" spans="2:9" x14ac:dyDescent="0.35">
      <c r="B68" s="171"/>
      <c r="C68" s="1"/>
      <c r="D68" s="1"/>
      <c r="E68" s="1"/>
      <c r="F68" s="1"/>
      <c r="G68" s="1"/>
      <c r="H68" s="1"/>
      <c r="I68" s="84"/>
    </row>
    <row r="69" spans="2:9" ht="15" thickBot="1" x14ac:dyDescent="0.4">
      <c r="B69" s="172"/>
      <c r="C69" s="173"/>
      <c r="D69" s="173"/>
      <c r="E69" s="173"/>
      <c r="F69" s="173"/>
      <c r="G69" s="173"/>
      <c r="H69" s="173"/>
      <c r="I69" s="109"/>
    </row>
    <row r="72" spans="2:9" ht="15" thickBot="1" x14ac:dyDescent="0.4"/>
    <row r="73" spans="2:9" ht="19" thickBot="1" x14ac:dyDescent="0.5">
      <c r="B73" s="582" t="s">
        <v>338</v>
      </c>
      <c r="C73" s="583"/>
      <c r="D73" s="583"/>
      <c r="E73" s="583"/>
      <c r="F73" s="583"/>
      <c r="G73" s="583"/>
      <c r="H73" s="583"/>
      <c r="I73" s="584"/>
    </row>
    <row r="74" spans="2:9" ht="29.5" thickBot="1" x14ac:dyDescent="0.4">
      <c r="B74" s="168" t="s">
        <v>1</v>
      </c>
      <c r="C74" s="169" t="s">
        <v>7</v>
      </c>
      <c r="D74" s="169" t="s">
        <v>2</v>
      </c>
      <c r="E74" s="169" t="s">
        <v>3</v>
      </c>
      <c r="F74" s="169" t="s">
        <v>4</v>
      </c>
      <c r="G74" s="169" t="s">
        <v>24</v>
      </c>
      <c r="H74" s="169" t="s">
        <v>6</v>
      </c>
      <c r="I74" s="170" t="s">
        <v>25</v>
      </c>
    </row>
    <row r="75" spans="2:9" x14ac:dyDescent="0.35">
      <c r="B75" s="300"/>
      <c r="C75" s="335" t="s">
        <v>8</v>
      </c>
      <c r="D75" s="167"/>
      <c r="E75" s="167"/>
      <c r="F75" s="167"/>
      <c r="G75" s="167"/>
      <c r="H75" s="167"/>
      <c r="I75" s="130"/>
    </row>
    <row r="76" spans="2:9" x14ac:dyDescent="0.35">
      <c r="B76" s="85" t="s">
        <v>339</v>
      </c>
      <c r="C76" s="1">
        <v>4000000</v>
      </c>
      <c r="D76" s="2">
        <v>45566</v>
      </c>
      <c r="E76" s="2">
        <v>45748</v>
      </c>
      <c r="F76" s="59">
        <f>E76-D76</f>
        <v>182</v>
      </c>
      <c r="G76" s="4">
        <v>0.18</v>
      </c>
      <c r="H76" s="5">
        <f>C76*F76*G76/365</f>
        <v>359013.69863013696</v>
      </c>
      <c r="I76" s="86">
        <f>+C76+H76</f>
        <v>4359013.6986301374</v>
      </c>
    </row>
    <row r="77" spans="2:9" x14ac:dyDescent="0.35">
      <c r="B77" s="87" t="s">
        <v>340</v>
      </c>
      <c r="C77" s="5">
        <v>1500000</v>
      </c>
      <c r="D77" s="2">
        <v>45597</v>
      </c>
      <c r="E77" s="2">
        <v>45748</v>
      </c>
      <c r="F77" s="59">
        <f>E77-D77</f>
        <v>151</v>
      </c>
      <c r="G77" s="4">
        <v>0.18</v>
      </c>
      <c r="H77" s="5">
        <f>C77*F77*G77/365</f>
        <v>111698.63013698631</v>
      </c>
      <c r="I77" s="88">
        <f>+H77+C77</f>
        <v>1611698.6301369863</v>
      </c>
    </row>
    <row r="78" spans="2:9" x14ac:dyDescent="0.35">
      <c r="B78" s="87"/>
      <c r="C78" s="5"/>
      <c r="D78" s="2"/>
      <c r="E78" s="2"/>
      <c r="F78" s="58"/>
      <c r="G78" s="4"/>
      <c r="H78" s="5"/>
      <c r="I78" s="88"/>
    </row>
    <row r="79" spans="2:9" x14ac:dyDescent="0.35">
      <c r="B79" s="87"/>
      <c r="C79" s="5"/>
      <c r="D79" s="2"/>
      <c r="E79" s="2"/>
      <c r="F79" s="56"/>
      <c r="G79" s="4"/>
      <c r="H79" s="8"/>
      <c r="I79" s="86"/>
    </row>
    <row r="80" spans="2:9" ht="15" thickBot="1" x14ac:dyDescent="0.4">
      <c r="B80" s="377"/>
      <c r="C80" s="144"/>
      <c r="D80" s="141"/>
      <c r="E80" s="141"/>
      <c r="F80" s="287"/>
      <c r="G80" s="143"/>
      <c r="H80" s="120"/>
      <c r="I80" s="121"/>
    </row>
    <row r="81" spans="2:9" ht="15" thickBot="1" x14ac:dyDescent="0.4">
      <c r="B81" s="440"/>
      <c r="C81" s="591" t="s">
        <v>42</v>
      </c>
      <c r="D81" s="690"/>
      <c r="E81" s="690"/>
      <c r="F81" s="690"/>
      <c r="G81" s="592"/>
      <c r="H81" s="288">
        <f>SUM(H76:H80)</f>
        <v>470712.32876712328</v>
      </c>
      <c r="I81" s="215"/>
    </row>
    <row r="82" spans="2:9" ht="15" thickBot="1" x14ac:dyDescent="0.4">
      <c r="B82" s="412"/>
      <c r="C82" s="691" t="s">
        <v>43</v>
      </c>
      <c r="D82" s="553"/>
      <c r="E82" s="553"/>
      <c r="F82" s="553"/>
      <c r="G82" s="692"/>
      <c r="H82" s="413">
        <f>+SUM(C76:C80)</f>
        <v>5500000</v>
      </c>
      <c r="I82" s="414"/>
    </row>
    <row r="83" spans="2:9" ht="15" thickBot="1" x14ac:dyDescent="0.4">
      <c r="B83" s="439"/>
      <c r="C83" s="693" t="s">
        <v>58</v>
      </c>
      <c r="D83" s="694"/>
      <c r="E83" s="694"/>
      <c r="F83" s="694"/>
      <c r="G83" s="695"/>
      <c r="H83" s="442">
        <f>SUM(H81:H82)</f>
        <v>5970712.3287671236</v>
      </c>
      <c r="I83" s="441"/>
    </row>
    <row r="84" spans="2:9" ht="15" thickBot="1" x14ac:dyDescent="0.4">
      <c r="B84" s="439"/>
      <c r="C84" s="685" t="s">
        <v>341</v>
      </c>
      <c r="D84" s="685"/>
      <c r="E84" s="685"/>
      <c r="F84" s="685"/>
      <c r="G84" s="685"/>
      <c r="H84" s="336">
        <v>5500000</v>
      </c>
      <c r="I84" s="337"/>
    </row>
    <row r="85" spans="2:9" ht="16" thickBot="1" x14ac:dyDescent="0.4">
      <c r="B85" s="123"/>
      <c r="C85" s="536" t="s">
        <v>335</v>
      </c>
      <c r="D85" s="536"/>
      <c r="E85" s="536"/>
      <c r="F85" s="686"/>
      <c r="G85" s="686"/>
      <c r="H85" s="445">
        <f>+H83-H84</f>
        <v>470712.32876712363</v>
      </c>
      <c r="I85" s="124"/>
    </row>
    <row r="86" spans="2:9" x14ac:dyDescent="0.35">
      <c r="F86" s="687" t="s">
        <v>342</v>
      </c>
      <c r="G86" s="688"/>
      <c r="H86" s="178">
        <v>1100000</v>
      </c>
    </row>
    <row r="87" spans="2:9" x14ac:dyDescent="0.35">
      <c r="F87" s="604" t="s">
        <v>343</v>
      </c>
      <c r="G87" s="566"/>
      <c r="H87" s="84">
        <v>700000</v>
      </c>
    </row>
    <row r="88" spans="2:9" x14ac:dyDescent="0.35">
      <c r="F88" s="604" t="s">
        <v>344</v>
      </c>
      <c r="G88" s="566"/>
      <c r="H88" s="84">
        <v>350000</v>
      </c>
    </row>
    <row r="89" spans="2:9" x14ac:dyDescent="0.35">
      <c r="F89" s="683"/>
      <c r="G89" s="516"/>
      <c r="H89" s="84"/>
    </row>
    <row r="90" spans="2:9" ht="15" thickBot="1" x14ac:dyDescent="0.4">
      <c r="F90" s="684" t="s">
        <v>270</v>
      </c>
      <c r="G90" s="624"/>
      <c r="H90" s="446">
        <f>SUM(H85:H89)</f>
        <v>2620712.3287671236</v>
      </c>
    </row>
  </sheetData>
  <mergeCells count="31">
    <mergeCell ref="C58:G58"/>
    <mergeCell ref="C59:G59"/>
    <mergeCell ref="C60:G60"/>
    <mergeCell ref="C61:G61"/>
    <mergeCell ref="C63:G63"/>
    <mergeCell ref="C62:G62"/>
    <mergeCell ref="B1:I1"/>
    <mergeCell ref="C11:G11"/>
    <mergeCell ref="C12:G12"/>
    <mergeCell ref="C13:G13"/>
    <mergeCell ref="B47:I47"/>
    <mergeCell ref="B31:I31"/>
    <mergeCell ref="C40:G40"/>
    <mergeCell ref="C41:G41"/>
    <mergeCell ref="C42:G42"/>
    <mergeCell ref="B15:I15"/>
    <mergeCell ref="C23:G23"/>
    <mergeCell ref="C24:G24"/>
    <mergeCell ref="C25:G25"/>
    <mergeCell ref="B65:I65"/>
    <mergeCell ref="B73:I73"/>
    <mergeCell ref="C81:G81"/>
    <mergeCell ref="C82:G82"/>
    <mergeCell ref="C83:G83"/>
    <mergeCell ref="F87:G87"/>
    <mergeCell ref="F88:G88"/>
    <mergeCell ref="F89:G89"/>
    <mergeCell ref="F90:G90"/>
    <mergeCell ref="C84:G84"/>
    <mergeCell ref="C85:G85"/>
    <mergeCell ref="F86:G86"/>
  </mergeCells>
  <printOptions horizont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27"/>
  <sheetViews>
    <sheetView topLeftCell="A12" zoomScale="115" zoomScaleNormal="115" workbookViewId="0">
      <selection activeCell="A16" sqref="A16:J28"/>
    </sheetView>
  </sheetViews>
  <sheetFormatPr defaultRowHeight="14.5" x14ac:dyDescent="0.35"/>
  <cols>
    <col min="1" max="1" width="5.36328125" customWidth="1"/>
    <col min="2" max="2" width="10.90625" bestFit="1" customWidth="1"/>
    <col min="3" max="3" width="8.36328125" style="6" bestFit="1" customWidth="1"/>
    <col min="4" max="5" width="10.90625" bestFit="1" customWidth="1"/>
    <col min="6" max="6" width="5.1796875" bestFit="1" customWidth="1"/>
    <col min="7" max="7" width="9.08984375" style="6" bestFit="1" customWidth="1"/>
    <col min="8" max="8" width="14.81640625" style="6" bestFit="1" customWidth="1"/>
    <col min="9" max="9" width="9.81640625" style="6" customWidth="1"/>
    <col min="10" max="10" width="6.36328125" customWidth="1"/>
  </cols>
  <sheetData>
    <row r="1" spans="2:9" ht="18" x14ac:dyDescent="0.35">
      <c r="B1" s="511" t="s">
        <v>113</v>
      </c>
      <c r="C1" s="512"/>
      <c r="D1" s="512"/>
      <c r="E1" s="512"/>
      <c r="F1" s="512"/>
      <c r="G1" s="512"/>
      <c r="H1" s="512"/>
      <c r="I1" s="513"/>
    </row>
    <row r="2" spans="2:9" ht="14.4" x14ac:dyDescent="0.3">
      <c r="B2" s="105"/>
      <c r="I2" s="342"/>
    </row>
    <row r="3" spans="2:9" ht="14.4" x14ac:dyDescent="0.3">
      <c r="B3" s="81" t="s">
        <v>1</v>
      </c>
      <c r="C3" s="41" t="s">
        <v>7</v>
      </c>
      <c r="D3" s="41" t="s">
        <v>2</v>
      </c>
      <c r="E3" s="41" t="s">
        <v>3</v>
      </c>
      <c r="F3" s="41" t="s">
        <v>4</v>
      </c>
      <c r="G3" s="41" t="s">
        <v>24</v>
      </c>
      <c r="H3" s="41" t="s">
        <v>6</v>
      </c>
      <c r="I3" s="82" t="s">
        <v>25</v>
      </c>
    </row>
    <row r="4" spans="2:9" ht="14.4" x14ac:dyDescent="0.3">
      <c r="B4" s="83"/>
      <c r="C4" s="12" t="s">
        <v>8</v>
      </c>
      <c r="D4" s="1"/>
      <c r="E4" s="1"/>
      <c r="F4" s="1"/>
      <c r="G4" s="15"/>
      <c r="H4" s="15"/>
      <c r="I4" s="224"/>
    </row>
    <row r="5" spans="2:9" ht="14.4" x14ac:dyDescent="0.3">
      <c r="B5" s="85">
        <v>43792</v>
      </c>
      <c r="C5" s="15">
        <v>1000000</v>
      </c>
      <c r="D5" s="2">
        <v>43792</v>
      </c>
      <c r="E5" s="2">
        <v>44158</v>
      </c>
      <c r="F5" s="59">
        <v>365</v>
      </c>
      <c r="G5" s="221">
        <v>0.18</v>
      </c>
      <c r="H5" s="54">
        <f>C5*F5*G5/365</f>
        <v>180000</v>
      </c>
      <c r="I5" s="222">
        <f>+C5+H5</f>
        <v>1180000</v>
      </c>
    </row>
    <row r="6" spans="2:9" ht="14.4" x14ac:dyDescent="0.3">
      <c r="B6" s="87"/>
      <c r="C6" s="54"/>
      <c r="D6" s="2">
        <f>+E5</f>
        <v>44158</v>
      </c>
      <c r="E6" s="2">
        <v>44232</v>
      </c>
      <c r="F6" s="58">
        <f>+E6-D6</f>
        <v>74</v>
      </c>
      <c r="G6" s="221">
        <v>0.18</v>
      </c>
      <c r="H6" s="54">
        <f>I5*F6*G6/365</f>
        <v>43061.917808219179</v>
      </c>
      <c r="I6" s="343">
        <f>+I5+H6</f>
        <v>1223061.9178082191</v>
      </c>
    </row>
    <row r="7" spans="2:9" ht="14.4" x14ac:dyDescent="0.3">
      <c r="B7" s="87"/>
      <c r="C7" s="54"/>
      <c r="D7" s="2"/>
      <c r="E7" s="2"/>
      <c r="F7" s="58"/>
      <c r="G7" s="221"/>
      <c r="H7" s="54"/>
      <c r="I7" s="223"/>
    </row>
    <row r="8" spans="2:9" ht="14.4" x14ac:dyDescent="0.3">
      <c r="B8" s="87"/>
      <c r="C8" s="54"/>
      <c r="D8" s="2"/>
      <c r="E8" s="2"/>
      <c r="F8" s="56"/>
      <c r="G8" s="221"/>
      <c r="H8" s="40">
        <f>+SUM(H5:H6)</f>
        <v>223061.91780821918</v>
      </c>
      <c r="I8" s="222"/>
    </row>
    <row r="9" spans="2:9" ht="14.4" x14ac:dyDescent="0.3">
      <c r="B9" s="87"/>
      <c r="C9" s="54"/>
      <c r="D9" s="2"/>
      <c r="E9" s="2"/>
      <c r="F9" s="3"/>
      <c r="G9" s="221"/>
      <c r="H9" s="40"/>
      <c r="I9" s="222"/>
    </row>
    <row r="10" spans="2:9" ht="14.4" x14ac:dyDescent="0.3">
      <c r="B10" s="85"/>
      <c r="C10" s="514" t="s">
        <v>42</v>
      </c>
      <c r="D10" s="515"/>
      <c r="E10" s="515"/>
      <c r="F10" s="515"/>
      <c r="G10" s="516"/>
      <c r="H10" s="40">
        <f>+H8</f>
        <v>223061.91780821918</v>
      </c>
      <c r="I10" s="222"/>
    </row>
    <row r="11" spans="2:9" ht="14.4" x14ac:dyDescent="0.3">
      <c r="B11" s="85"/>
      <c r="C11" s="514" t="s">
        <v>43</v>
      </c>
      <c r="D11" s="515"/>
      <c r="E11" s="515"/>
      <c r="F11" s="515"/>
      <c r="G11" s="516"/>
      <c r="H11" s="40">
        <f>+C5</f>
        <v>1000000</v>
      </c>
      <c r="I11" s="222"/>
    </row>
    <row r="12" spans="2:9" ht="15" thickBot="1" x14ac:dyDescent="0.35">
      <c r="B12" s="108"/>
      <c r="C12" s="517" t="s">
        <v>58</v>
      </c>
      <c r="D12" s="518"/>
      <c r="E12" s="518"/>
      <c r="F12" s="518"/>
      <c r="G12" s="519"/>
      <c r="H12" s="290">
        <f>SUM(H10:H11)</f>
        <v>1223061.9178082191</v>
      </c>
      <c r="I12" s="319"/>
    </row>
    <row r="16" spans="2:9" ht="15" thickBot="1" x14ac:dyDescent="0.35"/>
    <row r="17" spans="2:9" ht="18.649999999999999" thickBot="1" x14ac:dyDescent="0.4">
      <c r="B17" s="511" t="s">
        <v>227</v>
      </c>
      <c r="C17" s="512"/>
      <c r="D17" s="512"/>
      <c r="E17" s="512"/>
      <c r="F17" s="512"/>
      <c r="G17" s="512"/>
      <c r="H17" s="512"/>
      <c r="I17" s="513"/>
    </row>
    <row r="18" spans="2:9" ht="15" thickBot="1" x14ac:dyDescent="0.35">
      <c r="B18" s="168" t="s">
        <v>1</v>
      </c>
      <c r="C18" s="169" t="s">
        <v>7</v>
      </c>
      <c r="D18" s="169" t="s">
        <v>2</v>
      </c>
      <c r="E18" s="169" t="s">
        <v>3</v>
      </c>
      <c r="F18" s="169" t="s">
        <v>4</v>
      </c>
      <c r="G18" s="169" t="s">
        <v>24</v>
      </c>
      <c r="H18" s="169" t="s">
        <v>6</v>
      </c>
      <c r="I18" s="170" t="s">
        <v>25</v>
      </c>
    </row>
    <row r="19" spans="2:9" ht="14.4" x14ac:dyDescent="0.3">
      <c r="B19" s="300"/>
      <c r="C19" s="335" t="s">
        <v>8</v>
      </c>
      <c r="D19" s="167"/>
      <c r="E19" s="167"/>
      <c r="F19" s="167"/>
      <c r="G19" s="93"/>
      <c r="H19" s="93"/>
      <c r="I19" s="328"/>
    </row>
    <row r="20" spans="2:9" ht="14.4" x14ac:dyDescent="0.3">
      <c r="B20" s="85" t="s">
        <v>273</v>
      </c>
      <c r="C20" s="15">
        <v>2000000</v>
      </c>
      <c r="D20" s="2">
        <v>44522</v>
      </c>
      <c r="E20" s="2">
        <v>44887</v>
      </c>
      <c r="F20" s="59">
        <v>365</v>
      </c>
      <c r="G20" s="221">
        <v>0.18</v>
      </c>
      <c r="H20" s="54">
        <f>C20*F20*G20/365</f>
        <v>360000</v>
      </c>
      <c r="I20" s="222">
        <f>+C20+H20</f>
        <v>2360000</v>
      </c>
    </row>
    <row r="21" spans="2:9" ht="14.4" x14ac:dyDescent="0.3">
      <c r="B21" s="85" t="s">
        <v>274</v>
      </c>
      <c r="C21" s="12" t="s">
        <v>28</v>
      </c>
      <c r="D21" s="2"/>
      <c r="E21" s="2"/>
      <c r="F21" s="59"/>
      <c r="G21" s="221"/>
      <c r="H21" s="54">
        <v>-360000</v>
      </c>
      <c r="I21" s="222">
        <f>+I20+H21</f>
        <v>2000000</v>
      </c>
    </row>
    <row r="22" spans="2:9" ht="14.4" x14ac:dyDescent="0.3">
      <c r="B22" s="87"/>
      <c r="C22" s="54"/>
      <c r="D22" s="2">
        <f>+E20</f>
        <v>44887</v>
      </c>
      <c r="E22" s="2">
        <v>45252</v>
      </c>
      <c r="F22" s="58">
        <f>+E22-D22</f>
        <v>365</v>
      </c>
      <c r="G22" s="221">
        <v>0.18</v>
      </c>
      <c r="H22" s="54">
        <f>I21*F22*G22/365</f>
        <v>360000</v>
      </c>
      <c r="I22" s="222">
        <f>+I21+H22</f>
        <v>2360000</v>
      </c>
    </row>
    <row r="23" spans="2:9" x14ac:dyDescent="0.35">
      <c r="B23" s="87"/>
      <c r="C23" s="54"/>
      <c r="D23" s="2">
        <f>+E22</f>
        <v>45252</v>
      </c>
      <c r="E23" s="2">
        <v>45467</v>
      </c>
      <c r="F23" s="58">
        <f>+E23-D23</f>
        <v>215</v>
      </c>
      <c r="G23" s="221">
        <v>0.18</v>
      </c>
      <c r="H23" s="54">
        <f>I22*F23*G23/365</f>
        <v>250224.65753424657</v>
      </c>
      <c r="I23" s="222">
        <f>+I22+H23</f>
        <v>2610224.6575342463</v>
      </c>
    </row>
    <row r="24" spans="2:9" x14ac:dyDescent="0.35">
      <c r="B24" s="87"/>
      <c r="C24" s="54"/>
      <c r="D24" s="2"/>
      <c r="E24" s="2"/>
      <c r="F24" s="58"/>
      <c r="G24" s="221"/>
      <c r="H24" s="54"/>
      <c r="I24" s="223"/>
    </row>
    <row r="25" spans="2:9" x14ac:dyDescent="0.35">
      <c r="B25" s="85"/>
      <c r="C25" s="514" t="s">
        <v>42</v>
      </c>
      <c r="D25" s="515"/>
      <c r="E25" s="515"/>
      <c r="F25" s="515"/>
      <c r="G25" s="516"/>
      <c r="H25" s="40">
        <f>SUM(H20:H24)</f>
        <v>610224.65753424657</v>
      </c>
      <c r="I25" s="222"/>
    </row>
    <row r="26" spans="2:9" ht="15" thickBot="1" x14ac:dyDescent="0.4">
      <c r="B26" s="119"/>
      <c r="C26" s="588" t="s">
        <v>43</v>
      </c>
      <c r="D26" s="589"/>
      <c r="E26" s="589"/>
      <c r="F26" s="589"/>
      <c r="G26" s="590"/>
      <c r="H26" s="230">
        <f>+C20</f>
        <v>2000000</v>
      </c>
      <c r="I26" s="281"/>
    </row>
    <row r="27" spans="2:9" ht="15" thickBot="1" x14ac:dyDescent="0.4">
      <c r="B27" s="123"/>
      <c r="C27" s="585" t="s">
        <v>275</v>
      </c>
      <c r="D27" s="586"/>
      <c r="E27" s="586"/>
      <c r="F27" s="586"/>
      <c r="G27" s="587"/>
      <c r="H27" s="231">
        <f>SUM(H25:H26)</f>
        <v>2610224.6575342463</v>
      </c>
      <c r="I27" s="283"/>
    </row>
  </sheetData>
  <mergeCells count="8">
    <mergeCell ref="B1:I1"/>
    <mergeCell ref="B17:I17"/>
    <mergeCell ref="C25:G25"/>
    <mergeCell ref="C26:G26"/>
    <mergeCell ref="C27:G27"/>
    <mergeCell ref="C10:G10"/>
    <mergeCell ref="C11:G11"/>
    <mergeCell ref="C12:G12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146"/>
  <sheetViews>
    <sheetView topLeftCell="A114" zoomScale="85" zoomScaleNormal="85" workbookViewId="0">
      <selection activeCell="H135" sqref="H135"/>
    </sheetView>
  </sheetViews>
  <sheetFormatPr defaultRowHeight="14.5" x14ac:dyDescent="0.35"/>
  <cols>
    <col min="1" max="1" width="3.90625" customWidth="1"/>
    <col min="2" max="2" width="13.36328125" style="6" customWidth="1"/>
    <col min="3" max="3" width="37.7265625" style="6" customWidth="1"/>
    <col min="4" max="4" width="11" bestFit="1" customWidth="1"/>
    <col min="5" max="5" width="3.54296875" customWidth="1"/>
    <col min="7" max="7" width="9.90625" customWidth="1"/>
    <col min="8" max="8" width="9.90625" style="6" bestFit="1" customWidth="1"/>
    <col min="9" max="9" width="9.90625" customWidth="1"/>
    <col min="10" max="10" width="3.453125" customWidth="1"/>
  </cols>
  <sheetData>
    <row r="1" spans="2:18" ht="18.5" x14ac:dyDescent="0.45">
      <c r="B1" s="511" t="s">
        <v>125</v>
      </c>
      <c r="C1" s="512"/>
      <c r="D1" s="512"/>
      <c r="E1" s="512"/>
      <c r="F1" s="512"/>
      <c r="G1" s="512"/>
      <c r="H1" s="512"/>
      <c r="I1" s="513"/>
      <c r="K1" s="511" t="s">
        <v>130</v>
      </c>
      <c r="L1" s="512"/>
      <c r="M1" s="512"/>
      <c r="N1" s="512"/>
      <c r="O1" s="512"/>
      <c r="P1" s="512"/>
      <c r="Q1" s="512"/>
      <c r="R1" s="513"/>
    </row>
    <row r="2" spans="2:18" x14ac:dyDescent="0.35">
      <c r="B2" s="105"/>
      <c r="I2" s="107"/>
      <c r="K2" s="105"/>
      <c r="R2" s="107"/>
    </row>
    <row r="3" spans="2:18" ht="29" x14ac:dyDescent="0.35">
      <c r="B3" s="81" t="s">
        <v>1</v>
      </c>
      <c r="C3" s="41" t="s">
        <v>7</v>
      </c>
      <c r="D3" s="41" t="s">
        <v>2</v>
      </c>
      <c r="E3" s="41" t="s">
        <v>3</v>
      </c>
      <c r="F3" s="41" t="s">
        <v>4</v>
      </c>
      <c r="G3" s="41" t="s">
        <v>24</v>
      </c>
      <c r="H3" s="41" t="s">
        <v>6</v>
      </c>
      <c r="I3" s="82" t="s">
        <v>25</v>
      </c>
      <c r="K3" s="81" t="s">
        <v>1</v>
      </c>
      <c r="L3" s="41" t="s">
        <v>7</v>
      </c>
      <c r="M3" s="41" t="s">
        <v>2</v>
      </c>
      <c r="N3" s="41" t="s">
        <v>3</v>
      </c>
      <c r="O3" s="41" t="s">
        <v>4</v>
      </c>
      <c r="P3" s="41" t="s">
        <v>24</v>
      </c>
      <c r="Q3" s="41" t="s">
        <v>6</v>
      </c>
      <c r="R3" s="82" t="s">
        <v>25</v>
      </c>
    </row>
    <row r="4" spans="2:18" x14ac:dyDescent="0.35">
      <c r="B4" s="83"/>
      <c r="C4" s="12" t="s">
        <v>8</v>
      </c>
      <c r="D4" s="1"/>
      <c r="E4" s="1"/>
      <c r="F4" s="1"/>
      <c r="G4" s="1"/>
      <c r="H4" s="15"/>
      <c r="I4" s="84"/>
      <c r="K4" s="83"/>
      <c r="L4" s="12" t="s">
        <v>8</v>
      </c>
      <c r="M4" s="1"/>
      <c r="N4" s="1"/>
      <c r="O4" s="1"/>
      <c r="P4" s="1"/>
      <c r="Q4" s="1"/>
      <c r="R4" s="84"/>
    </row>
    <row r="5" spans="2:18" x14ac:dyDescent="0.35">
      <c r="B5" s="85">
        <v>43935</v>
      </c>
      <c r="C5" s="15">
        <v>1000000</v>
      </c>
      <c r="D5" s="2">
        <v>43935</v>
      </c>
      <c r="E5" s="2">
        <v>44287</v>
      </c>
      <c r="F5" s="59">
        <f>+E5-D5</f>
        <v>352</v>
      </c>
      <c r="G5" s="4">
        <v>0.18</v>
      </c>
      <c r="H5" s="54">
        <f>C5*F5*G5/365</f>
        <v>173589.04109589042</v>
      </c>
      <c r="I5" s="86">
        <f>+C5+H5</f>
        <v>1173589.0410958903</v>
      </c>
      <c r="K5" s="85">
        <v>43893</v>
      </c>
      <c r="L5" s="1">
        <v>1000000</v>
      </c>
      <c r="M5" s="2">
        <v>43893</v>
      </c>
      <c r="N5" s="2">
        <v>44258</v>
      </c>
      <c r="O5" s="59">
        <f>+N5-M5</f>
        <v>365</v>
      </c>
      <c r="P5" s="4">
        <v>0.18</v>
      </c>
      <c r="Q5" s="5">
        <f>L5*O5*P5/365</f>
        <v>180000</v>
      </c>
      <c r="R5" s="86">
        <f>+L5+Q5</f>
        <v>1180000</v>
      </c>
    </row>
    <row r="6" spans="2:18" x14ac:dyDescent="0.35">
      <c r="B6" s="87"/>
      <c r="C6" s="54"/>
      <c r="D6" s="2"/>
      <c r="E6" s="2"/>
      <c r="F6" s="58"/>
      <c r="G6" s="4"/>
      <c r="H6" s="54"/>
      <c r="I6" s="88"/>
      <c r="K6" s="85"/>
      <c r="L6" s="5">
        <f>+R5</f>
        <v>1180000</v>
      </c>
      <c r="M6" s="2">
        <f>+N5</f>
        <v>44258</v>
      </c>
      <c r="N6" s="2">
        <v>44377</v>
      </c>
      <c r="O6" s="59">
        <f>+N6-M6</f>
        <v>119</v>
      </c>
      <c r="P6" s="4">
        <v>0.18</v>
      </c>
      <c r="Q6" s="5">
        <f>L6*O6*P6/365</f>
        <v>69248.219178082189</v>
      </c>
      <c r="R6" s="86">
        <f>+L6+Q6</f>
        <v>1249248.2191780822</v>
      </c>
    </row>
    <row r="7" spans="2:18" x14ac:dyDescent="0.35">
      <c r="B7" s="87"/>
      <c r="C7" s="54"/>
      <c r="D7" s="2"/>
      <c r="E7" s="2"/>
      <c r="F7" s="3"/>
      <c r="G7" s="4"/>
      <c r="H7" s="40"/>
      <c r="I7" s="86"/>
      <c r="K7" s="87"/>
      <c r="L7" s="5"/>
      <c r="M7" s="2"/>
      <c r="N7" s="2"/>
      <c r="O7" s="3"/>
      <c r="P7" s="4"/>
      <c r="Q7" s="8"/>
      <c r="R7" s="86"/>
    </row>
    <row r="8" spans="2:18" x14ac:dyDescent="0.35">
      <c r="B8" s="85"/>
      <c r="C8" s="514" t="s">
        <v>42</v>
      </c>
      <c r="D8" s="515"/>
      <c r="E8" s="515"/>
      <c r="F8" s="515"/>
      <c r="G8" s="516"/>
      <c r="H8" s="40">
        <f>+H5</f>
        <v>173589.04109589042</v>
      </c>
      <c r="I8" s="86"/>
      <c r="K8" s="85"/>
      <c r="L8" s="514" t="s">
        <v>126</v>
      </c>
      <c r="M8" s="515"/>
      <c r="N8" s="515"/>
      <c r="O8" s="515"/>
      <c r="P8" s="516"/>
      <c r="Q8" s="8">
        <f>SUM(Q5:Q7)</f>
        <v>249248.21917808219</v>
      </c>
      <c r="R8" s="86"/>
    </row>
    <row r="9" spans="2:18" ht="15" thickBot="1" x14ac:dyDescent="0.4">
      <c r="B9" s="85"/>
      <c r="C9" s="514" t="s">
        <v>43</v>
      </c>
      <c r="D9" s="515"/>
      <c r="E9" s="515"/>
      <c r="F9" s="515"/>
      <c r="G9" s="516"/>
      <c r="H9" s="40">
        <f>+C5</f>
        <v>1000000</v>
      </c>
      <c r="I9" s="86"/>
      <c r="K9" s="119"/>
      <c r="L9" s="588" t="s">
        <v>43</v>
      </c>
      <c r="M9" s="589"/>
      <c r="N9" s="589"/>
      <c r="O9" s="589"/>
      <c r="P9" s="590"/>
      <c r="Q9" s="120">
        <f>+L5</f>
        <v>1000000</v>
      </c>
      <c r="R9" s="121"/>
    </row>
    <row r="10" spans="2:18" ht="15" thickBot="1" x14ac:dyDescent="0.4">
      <c r="B10" s="108"/>
      <c r="C10" s="517" t="s">
        <v>58</v>
      </c>
      <c r="D10" s="518"/>
      <c r="E10" s="518"/>
      <c r="F10" s="518"/>
      <c r="G10" s="519"/>
      <c r="H10" s="290">
        <f>SUM(H8:H9)</f>
        <v>1173589.0410958903</v>
      </c>
      <c r="I10" s="109"/>
      <c r="K10" s="123"/>
      <c r="L10" s="585" t="s">
        <v>58</v>
      </c>
      <c r="M10" s="586"/>
      <c r="N10" s="586"/>
      <c r="O10" s="586"/>
      <c r="P10" s="587"/>
      <c r="Q10" s="122">
        <f>SUM(Q8:Q9)</f>
        <v>1249248.2191780822</v>
      </c>
      <c r="R10" s="124"/>
    </row>
    <row r="11" spans="2:18" ht="15" thickBot="1" x14ac:dyDescent="0.4"/>
    <row r="12" spans="2:18" ht="18.5" x14ac:dyDescent="0.45">
      <c r="B12" s="511" t="s">
        <v>127</v>
      </c>
      <c r="C12" s="512"/>
      <c r="D12" s="512"/>
      <c r="E12" s="512"/>
      <c r="F12" s="512"/>
      <c r="G12" s="512"/>
      <c r="H12" s="512"/>
      <c r="I12" s="513"/>
      <c r="K12" s="511" t="s">
        <v>132</v>
      </c>
      <c r="L12" s="512"/>
      <c r="M12" s="512"/>
      <c r="N12" s="512"/>
      <c r="O12" s="512"/>
      <c r="P12" s="512"/>
      <c r="Q12" s="512"/>
      <c r="R12" s="513"/>
    </row>
    <row r="13" spans="2:18" x14ac:dyDescent="0.35">
      <c r="B13" s="105"/>
      <c r="I13" s="107"/>
      <c r="K13" s="105"/>
      <c r="R13" s="107"/>
    </row>
    <row r="14" spans="2:18" ht="29" x14ac:dyDescent="0.35">
      <c r="B14" s="81" t="s">
        <v>1</v>
      </c>
      <c r="C14" s="41" t="s">
        <v>7</v>
      </c>
      <c r="D14" s="41" t="s">
        <v>2</v>
      </c>
      <c r="E14" s="41" t="s">
        <v>3</v>
      </c>
      <c r="F14" s="41" t="s">
        <v>4</v>
      </c>
      <c r="G14" s="41" t="s">
        <v>24</v>
      </c>
      <c r="H14" s="41" t="s">
        <v>6</v>
      </c>
      <c r="I14" s="82" t="s">
        <v>25</v>
      </c>
      <c r="K14" s="81" t="s">
        <v>1</v>
      </c>
      <c r="L14" s="41" t="s">
        <v>7</v>
      </c>
      <c r="M14" s="41" t="s">
        <v>2</v>
      </c>
      <c r="N14" s="41" t="s">
        <v>3</v>
      </c>
      <c r="O14" s="41" t="s">
        <v>4</v>
      </c>
      <c r="P14" s="41" t="s">
        <v>24</v>
      </c>
      <c r="Q14" s="41" t="s">
        <v>6</v>
      </c>
      <c r="R14" s="82" t="s">
        <v>25</v>
      </c>
    </row>
    <row r="15" spans="2:18" x14ac:dyDescent="0.35">
      <c r="B15" s="83"/>
      <c r="C15" s="12" t="s">
        <v>8</v>
      </c>
      <c r="D15" s="1"/>
      <c r="E15" s="1"/>
      <c r="F15" s="1"/>
      <c r="G15" s="1"/>
      <c r="H15" s="15"/>
      <c r="I15" s="84"/>
      <c r="K15" s="83"/>
      <c r="L15" s="12" t="s">
        <v>8</v>
      </c>
      <c r="M15" s="1"/>
      <c r="N15" s="1"/>
      <c r="O15" s="1"/>
      <c r="P15" s="1"/>
      <c r="Q15" s="1"/>
      <c r="R15" s="84"/>
    </row>
    <row r="16" spans="2:18" x14ac:dyDescent="0.35">
      <c r="B16" s="85">
        <v>44030</v>
      </c>
      <c r="C16" s="15">
        <v>500000</v>
      </c>
      <c r="D16" s="2">
        <v>44030</v>
      </c>
      <c r="E16" s="2">
        <v>44298</v>
      </c>
      <c r="F16" s="59">
        <f>+E16-D16</f>
        <v>268</v>
      </c>
      <c r="G16" s="4">
        <v>0.24</v>
      </c>
      <c r="H16" s="54">
        <f>C16*F16*G16/365</f>
        <v>88109.589041095896</v>
      </c>
      <c r="I16" s="86">
        <f>+C16+H16</f>
        <v>588109.58904109593</v>
      </c>
      <c r="K16" s="85">
        <v>43669</v>
      </c>
      <c r="L16" s="1">
        <v>600000</v>
      </c>
      <c r="M16" s="2">
        <v>43669</v>
      </c>
      <c r="N16" s="2">
        <v>44034</v>
      </c>
      <c r="O16" s="59">
        <f>+N16-M16</f>
        <v>365</v>
      </c>
      <c r="P16" s="4">
        <v>0.18</v>
      </c>
      <c r="Q16" s="5">
        <f>L16*O16*P16/365</f>
        <v>108000</v>
      </c>
      <c r="R16" s="86">
        <f>+L16+Q16</f>
        <v>708000</v>
      </c>
    </row>
    <row r="17" spans="2:18" x14ac:dyDescent="0.35">
      <c r="B17" s="87"/>
      <c r="C17" s="54"/>
      <c r="D17" s="2"/>
      <c r="E17" s="2"/>
      <c r="F17" s="3"/>
      <c r="G17" s="4"/>
      <c r="H17" s="40"/>
      <c r="I17" s="86"/>
      <c r="K17" s="85"/>
      <c r="L17" s="5">
        <f>+R16</f>
        <v>708000</v>
      </c>
      <c r="M17" s="2">
        <f>+N16</f>
        <v>44034</v>
      </c>
      <c r="N17" s="2">
        <v>44377</v>
      </c>
      <c r="O17" s="59">
        <f>+N17-M17</f>
        <v>343</v>
      </c>
      <c r="P17" s="4">
        <v>0.18</v>
      </c>
      <c r="Q17" s="5">
        <f>L17*O17*P17/365</f>
        <v>119758.68493150685</v>
      </c>
      <c r="R17" s="86">
        <f>+L17+Q17</f>
        <v>827758.68493150687</v>
      </c>
    </row>
    <row r="18" spans="2:18" x14ac:dyDescent="0.35">
      <c r="B18" s="85"/>
      <c r="C18" s="514" t="s">
        <v>126</v>
      </c>
      <c r="D18" s="515"/>
      <c r="E18" s="515"/>
      <c r="F18" s="515"/>
      <c r="G18" s="516"/>
      <c r="H18" s="40">
        <f>+H16</f>
        <v>88109.589041095896</v>
      </c>
      <c r="I18" s="86"/>
      <c r="K18" s="87"/>
      <c r="L18" s="5"/>
      <c r="M18" s="2"/>
      <c r="N18" s="2"/>
      <c r="O18" s="3"/>
      <c r="P18" s="4"/>
      <c r="Q18" s="8"/>
      <c r="R18" s="86"/>
    </row>
    <row r="19" spans="2:18" ht="15" thickBot="1" x14ac:dyDescent="0.4">
      <c r="B19" s="119"/>
      <c r="C19" s="588" t="s">
        <v>43</v>
      </c>
      <c r="D19" s="589"/>
      <c r="E19" s="589"/>
      <c r="F19" s="589"/>
      <c r="G19" s="590"/>
      <c r="H19" s="230">
        <f>+C16</f>
        <v>500000</v>
      </c>
      <c r="I19" s="121"/>
      <c r="K19" s="85"/>
      <c r="L19" s="514" t="s">
        <v>126</v>
      </c>
      <c r="M19" s="515"/>
      <c r="N19" s="515"/>
      <c r="O19" s="515"/>
      <c r="P19" s="516"/>
      <c r="Q19" s="8">
        <f>SUM(Q16:Q18)</f>
        <v>227758.68493150687</v>
      </c>
      <c r="R19" s="86"/>
    </row>
    <row r="20" spans="2:18" ht="15" thickBot="1" x14ac:dyDescent="0.4">
      <c r="B20" s="123"/>
      <c r="C20" s="585" t="s">
        <v>58</v>
      </c>
      <c r="D20" s="586"/>
      <c r="E20" s="586"/>
      <c r="F20" s="586"/>
      <c r="G20" s="587"/>
      <c r="H20" s="231">
        <f>SUM(H18:H19)</f>
        <v>588109.58904109593</v>
      </c>
      <c r="I20" s="124"/>
      <c r="K20" s="119"/>
      <c r="L20" s="588" t="s">
        <v>43</v>
      </c>
      <c r="M20" s="589"/>
      <c r="N20" s="589"/>
      <c r="O20" s="589"/>
      <c r="P20" s="590"/>
      <c r="Q20" s="120">
        <f>+L16</f>
        <v>600000</v>
      </c>
      <c r="R20" s="121"/>
    </row>
    <row r="21" spans="2:18" ht="15" thickBot="1" x14ac:dyDescent="0.4">
      <c r="K21" s="123"/>
      <c r="L21" s="585" t="s">
        <v>58</v>
      </c>
      <c r="M21" s="586"/>
      <c r="N21" s="586"/>
      <c r="O21" s="586"/>
      <c r="P21" s="587"/>
      <c r="Q21" s="122">
        <f>SUM(Q19:Q20)</f>
        <v>827758.68493150687</v>
      </c>
      <c r="R21" s="124"/>
    </row>
    <row r="22" spans="2:18" ht="15" thickBot="1" x14ac:dyDescent="0.4"/>
    <row r="23" spans="2:18" ht="19" thickBot="1" x14ac:dyDescent="0.5">
      <c r="B23" s="511" t="s">
        <v>129</v>
      </c>
      <c r="C23" s="512"/>
      <c r="D23" s="512"/>
      <c r="E23" s="512"/>
      <c r="F23" s="512"/>
      <c r="G23" s="512"/>
      <c r="H23" s="512"/>
      <c r="I23" s="513"/>
    </row>
    <row r="24" spans="2:18" ht="18.5" x14ac:dyDescent="0.45">
      <c r="B24" s="105"/>
      <c r="I24" s="107"/>
      <c r="K24" s="511" t="s">
        <v>133</v>
      </c>
      <c r="L24" s="512"/>
      <c r="M24" s="512"/>
      <c r="N24" s="512"/>
      <c r="O24" s="512"/>
      <c r="P24" s="512"/>
      <c r="Q24" s="512"/>
      <c r="R24" s="513"/>
    </row>
    <row r="25" spans="2:18" ht="29" x14ac:dyDescent="0.35">
      <c r="B25" s="81" t="s">
        <v>1</v>
      </c>
      <c r="C25" s="41" t="s">
        <v>7</v>
      </c>
      <c r="D25" s="41" t="s">
        <v>2</v>
      </c>
      <c r="E25" s="41" t="s">
        <v>3</v>
      </c>
      <c r="F25" s="41" t="s">
        <v>4</v>
      </c>
      <c r="G25" s="41" t="s">
        <v>24</v>
      </c>
      <c r="H25" s="41" t="s">
        <v>6</v>
      </c>
      <c r="I25" s="82" t="s">
        <v>25</v>
      </c>
      <c r="K25" s="105"/>
      <c r="R25" s="107"/>
    </row>
    <row r="26" spans="2:18" ht="29" x14ac:dyDescent="0.35">
      <c r="B26" s="83"/>
      <c r="C26" s="12" t="s">
        <v>8</v>
      </c>
      <c r="D26" s="1"/>
      <c r="E26" s="1"/>
      <c r="F26" s="1"/>
      <c r="G26" s="1"/>
      <c r="H26" s="15"/>
      <c r="I26" s="84"/>
      <c r="K26" s="81" t="s">
        <v>1</v>
      </c>
      <c r="L26" s="41" t="s">
        <v>7</v>
      </c>
      <c r="M26" s="41" t="s">
        <v>2</v>
      </c>
      <c r="N26" s="41" t="s">
        <v>3</v>
      </c>
      <c r="O26" s="41" t="s">
        <v>4</v>
      </c>
      <c r="P26" s="41" t="s">
        <v>24</v>
      </c>
      <c r="Q26" s="41" t="s">
        <v>6</v>
      </c>
      <c r="R26" s="82" t="s">
        <v>25</v>
      </c>
    </row>
    <row r="27" spans="2:18" x14ac:dyDescent="0.35">
      <c r="B27" s="85">
        <v>42315</v>
      </c>
      <c r="C27" s="15">
        <v>300000</v>
      </c>
      <c r="D27" s="2">
        <v>42315</v>
      </c>
      <c r="E27" s="2">
        <v>42680</v>
      </c>
      <c r="F27" s="59">
        <f>+E27-D27</f>
        <v>365</v>
      </c>
      <c r="G27" s="4">
        <v>0.18</v>
      </c>
      <c r="H27" s="54">
        <f>C27*F27*G27/365</f>
        <v>54000</v>
      </c>
      <c r="I27" s="86">
        <f>+C27+H27</f>
        <v>354000</v>
      </c>
      <c r="K27" s="83"/>
      <c r="L27" s="12" t="s">
        <v>8</v>
      </c>
      <c r="M27" s="1"/>
      <c r="N27" s="1"/>
      <c r="O27" s="1"/>
      <c r="P27" s="1"/>
      <c r="Q27" s="1"/>
      <c r="R27" s="84"/>
    </row>
    <row r="28" spans="2:18" x14ac:dyDescent="0.35">
      <c r="B28" s="85"/>
      <c r="C28" s="54">
        <f>+I27</f>
        <v>354000</v>
      </c>
      <c r="D28" s="2">
        <v>42681</v>
      </c>
      <c r="E28" s="2">
        <v>43045</v>
      </c>
      <c r="F28" s="59">
        <v>365</v>
      </c>
      <c r="G28" s="4">
        <v>0.18</v>
      </c>
      <c r="H28" s="54">
        <f>C28*F28*G28/365</f>
        <v>63720</v>
      </c>
      <c r="I28" s="86">
        <f>+C28+H28</f>
        <v>417720</v>
      </c>
      <c r="K28" s="85">
        <v>41852</v>
      </c>
      <c r="L28" s="1">
        <v>500000</v>
      </c>
      <c r="M28" s="2">
        <v>44044</v>
      </c>
      <c r="N28" s="2">
        <v>44377</v>
      </c>
      <c r="O28" s="59">
        <f>+N28-M28</f>
        <v>333</v>
      </c>
      <c r="P28" s="4">
        <v>0.24</v>
      </c>
      <c r="Q28" s="5">
        <f>L28*O28*P28/365</f>
        <v>109479.45205479451</v>
      </c>
      <c r="R28" s="86">
        <f>+L28+Q28</f>
        <v>609479.45205479453</v>
      </c>
    </row>
    <row r="29" spans="2:18" x14ac:dyDescent="0.35">
      <c r="B29" s="85"/>
      <c r="C29" s="54">
        <f t="shared" ref="C29:C31" si="0">+I28</f>
        <v>417720</v>
      </c>
      <c r="D29" s="2">
        <v>43046</v>
      </c>
      <c r="E29" s="2">
        <v>43410</v>
      </c>
      <c r="F29" s="59">
        <v>365</v>
      </c>
      <c r="G29" s="4">
        <v>0.18</v>
      </c>
      <c r="H29" s="54">
        <f t="shared" ref="H29:H32" si="1">C29*F29*G29/365</f>
        <v>75189.600000000006</v>
      </c>
      <c r="I29" s="86">
        <f t="shared" ref="I29:I32" si="2">+C29+H29</f>
        <v>492909.6</v>
      </c>
      <c r="K29" s="85"/>
      <c r="L29" s="5"/>
      <c r="M29" s="2"/>
      <c r="N29" s="2"/>
      <c r="O29" s="59">
        <f>+N29-M29</f>
        <v>0</v>
      </c>
      <c r="P29" s="4">
        <v>0.18</v>
      </c>
      <c r="Q29" s="5">
        <f>L29*O29*P29/365</f>
        <v>0</v>
      </c>
      <c r="R29" s="86">
        <f>+L29+Q29</f>
        <v>0</v>
      </c>
    </row>
    <row r="30" spans="2:18" x14ac:dyDescent="0.35">
      <c r="B30" s="85"/>
      <c r="C30" s="54">
        <f t="shared" si="0"/>
        <v>492909.6</v>
      </c>
      <c r="D30" s="2">
        <v>43411</v>
      </c>
      <c r="E30" s="2">
        <v>43775</v>
      </c>
      <c r="F30" s="59">
        <v>365</v>
      </c>
      <c r="G30" s="4">
        <v>0.18</v>
      </c>
      <c r="H30" s="54">
        <f t="shared" si="1"/>
        <v>88723.728000000003</v>
      </c>
      <c r="I30" s="86">
        <f t="shared" si="2"/>
        <v>581633.32799999998</v>
      </c>
      <c r="K30" s="87"/>
      <c r="L30" s="5"/>
      <c r="M30" s="2"/>
      <c r="N30" s="2"/>
      <c r="O30" s="3"/>
      <c r="P30" s="4"/>
      <c r="Q30" s="8"/>
      <c r="R30" s="86"/>
    </row>
    <row r="31" spans="2:18" x14ac:dyDescent="0.35">
      <c r="B31" s="87"/>
      <c r="C31" s="54">
        <f t="shared" si="0"/>
        <v>581633.32799999998</v>
      </c>
      <c r="D31" s="2">
        <v>43776</v>
      </c>
      <c r="E31" s="2">
        <v>44141</v>
      </c>
      <c r="F31" s="59">
        <f t="shared" ref="F31:F32" si="3">+E31-D31</f>
        <v>365</v>
      </c>
      <c r="G31" s="4">
        <v>0.18</v>
      </c>
      <c r="H31" s="54">
        <f t="shared" si="1"/>
        <v>104693.99904</v>
      </c>
      <c r="I31" s="86">
        <f t="shared" si="2"/>
        <v>686327.32704</v>
      </c>
      <c r="K31" s="85"/>
      <c r="L31" s="514" t="s">
        <v>126</v>
      </c>
      <c r="M31" s="515"/>
      <c r="N31" s="515"/>
      <c r="O31" s="515"/>
      <c r="P31" s="516"/>
      <c r="Q31" s="8">
        <f>SUM(Q28:Q30)</f>
        <v>109479.45205479451</v>
      </c>
      <c r="R31" s="86"/>
    </row>
    <row r="32" spans="2:18" ht="15" thickBot="1" x14ac:dyDescent="0.4">
      <c r="B32" s="87"/>
      <c r="C32" s="54">
        <f t="shared" ref="C32" si="4">+I31</f>
        <v>686327.32704</v>
      </c>
      <c r="D32" s="2">
        <v>44142</v>
      </c>
      <c r="E32" s="2">
        <v>44377</v>
      </c>
      <c r="F32" s="59">
        <f t="shared" si="3"/>
        <v>235</v>
      </c>
      <c r="G32" s="4">
        <v>0.18</v>
      </c>
      <c r="H32" s="54">
        <f t="shared" si="1"/>
        <v>79538.755982991774</v>
      </c>
      <c r="I32" s="86">
        <f t="shared" si="2"/>
        <v>765866.08302299178</v>
      </c>
      <c r="K32" s="119"/>
      <c r="L32" s="588" t="s">
        <v>43</v>
      </c>
      <c r="M32" s="589"/>
      <c r="N32" s="589"/>
      <c r="O32" s="589"/>
      <c r="P32" s="590"/>
      <c r="Q32" s="120">
        <f>+L28</f>
        <v>500000</v>
      </c>
      <c r="R32" s="121"/>
    </row>
    <row r="33" spans="2:18" ht="15" thickBot="1" x14ac:dyDescent="0.4">
      <c r="B33" s="87"/>
      <c r="C33" s="54"/>
      <c r="D33" s="2"/>
      <c r="E33" s="2"/>
      <c r="F33" s="3"/>
      <c r="G33" s="4"/>
      <c r="H33" s="40"/>
      <c r="I33" s="86"/>
      <c r="K33" s="123"/>
      <c r="L33" s="585" t="s">
        <v>58</v>
      </c>
      <c r="M33" s="586"/>
      <c r="N33" s="586"/>
      <c r="O33" s="586"/>
      <c r="P33" s="587"/>
      <c r="Q33" s="122">
        <f>SUM(Q31:Q32)</f>
        <v>609479.45205479453</v>
      </c>
      <c r="R33" s="124"/>
    </row>
    <row r="34" spans="2:18" ht="15" thickBot="1" x14ac:dyDescent="0.4">
      <c r="B34" s="85"/>
      <c r="C34" s="514" t="s">
        <v>126</v>
      </c>
      <c r="D34" s="515"/>
      <c r="E34" s="515"/>
      <c r="F34" s="515"/>
      <c r="G34" s="516"/>
      <c r="H34" s="40">
        <f>SUM(H27:H33)</f>
        <v>465866.08302299178</v>
      </c>
      <c r="I34" s="86"/>
    </row>
    <row r="35" spans="2:18" ht="19" thickBot="1" x14ac:dyDescent="0.5">
      <c r="B35" s="119"/>
      <c r="C35" s="588" t="s">
        <v>43</v>
      </c>
      <c r="D35" s="589"/>
      <c r="E35" s="589"/>
      <c r="F35" s="589"/>
      <c r="G35" s="590"/>
      <c r="H35" s="230">
        <f>+C27</f>
        <v>300000</v>
      </c>
      <c r="I35" s="121"/>
      <c r="K35" s="511" t="s">
        <v>115</v>
      </c>
      <c r="L35" s="512"/>
      <c r="M35" s="512"/>
      <c r="N35" s="512"/>
      <c r="O35" s="512"/>
      <c r="P35" s="512"/>
      <c r="Q35" s="512"/>
      <c r="R35" s="513"/>
    </row>
    <row r="36" spans="2:18" ht="15" thickBot="1" x14ac:dyDescent="0.4">
      <c r="B36" s="123"/>
      <c r="C36" s="585" t="s">
        <v>58</v>
      </c>
      <c r="D36" s="586"/>
      <c r="E36" s="586"/>
      <c r="F36" s="586"/>
      <c r="G36" s="587"/>
      <c r="H36" s="231">
        <f>SUM(H34:H35)</f>
        <v>765866.08302299178</v>
      </c>
      <c r="I36" s="124"/>
      <c r="K36" s="105"/>
      <c r="R36" s="107"/>
    </row>
    <row r="37" spans="2:18" ht="29.5" thickBot="1" x14ac:dyDescent="0.4">
      <c r="K37" s="81" t="s">
        <v>1</v>
      </c>
      <c r="L37" s="41" t="s">
        <v>7</v>
      </c>
      <c r="M37" s="41" t="s">
        <v>2</v>
      </c>
      <c r="N37" s="41" t="s">
        <v>3</v>
      </c>
      <c r="O37" s="41" t="s">
        <v>4</v>
      </c>
      <c r="P37" s="41" t="s">
        <v>24</v>
      </c>
      <c r="Q37" s="41" t="s">
        <v>6</v>
      </c>
      <c r="R37" s="82" t="s">
        <v>25</v>
      </c>
    </row>
    <row r="38" spans="2:18" ht="18.5" x14ac:dyDescent="0.45">
      <c r="B38" s="511" t="s">
        <v>134</v>
      </c>
      <c r="C38" s="512"/>
      <c r="D38" s="512"/>
      <c r="E38" s="512"/>
      <c r="F38" s="512"/>
      <c r="G38" s="512"/>
      <c r="H38" s="512"/>
      <c r="I38" s="513"/>
      <c r="K38" s="83"/>
      <c r="L38" s="12" t="s">
        <v>8</v>
      </c>
      <c r="M38" s="1"/>
      <c r="N38" s="1"/>
      <c r="O38" s="1"/>
      <c r="P38" s="1"/>
      <c r="Q38" s="1"/>
      <c r="R38" s="84"/>
    </row>
    <row r="39" spans="2:18" x14ac:dyDescent="0.35">
      <c r="B39" s="105"/>
      <c r="I39" s="107"/>
      <c r="K39" s="85">
        <v>43867</v>
      </c>
      <c r="L39" s="1">
        <v>500000</v>
      </c>
      <c r="M39" s="2">
        <v>43867</v>
      </c>
      <c r="N39" s="2">
        <v>44232</v>
      </c>
      <c r="O39" s="59">
        <f>+N39-M39</f>
        <v>365</v>
      </c>
      <c r="P39" s="4">
        <v>0.18</v>
      </c>
      <c r="Q39" s="5">
        <f>L39*O39*P39/365</f>
        <v>90000</v>
      </c>
      <c r="R39" s="86">
        <f>+L39+Q39</f>
        <v>590000</v>
      </c>
    </row>
    <row r="40" spans="2:18" ht="29" x14ac:dyDescent="0.35">
      <c r="B40" s="81" t="s">
        <v>1</v>
      </c>
      <c r="C40" s="41" t="s">
        <v>7</v>
      </c>
      <c r="D40" s="41" t="s">
        <v>2</v>
      </c>
      <c r="E40" s="41" t="s">
        <v>3</v>
      </c>
      <c r="F40" s="41" t="s">
        <v>4</v>
      </c>
      <c r="G40" s="41" t="s">
        <v>24</v>
      </c>
      <c r="H40" s="41" t="s">
        <v>6</v>
      </c>
      <c r="I40" s="82" t="s">
        <v>25</v>
      </c>
      <c r="K40" s="87"/>
      <c r="L40" s="5">
        <f>+R39</f>
        <v>590000</v>
      </c>
      <c r="M40" s="2">
        <f>+N39</f>
        <v>44232</v>
      </c>
      <c r="N40" s="2">
        <v>44377</v>
      </c>
      <c r="O40" s="59">
        <f>+N40-M40</f>
        <v>145</v>
      </c>
      <c r="P40" s="4">
        <v>0.18</v>
      </c>
      <c r="Q40" s="5">
        <f>L40*O40*P40/365</f>
        <v>42189.04109589041</v>
      </c>
      <c r="R40" s="86">
        <f>+L40+Q40</f>
        <v>632189.04109589045</v>
      </c>
    </row>
    <row r="41" spans="2:18" x14ac:dyDescent="0.35">
      <c r="B41" s="83"/>
      <c r="C41" s="12" t="s">
        <v>8</v>
      </c>
      <c r="D41" s="1"/>
      <c r="E41" s="1"/>
      <c r="F41" s="1"/>
      <c r="G41" s="1"/>
      <c r="H41" s="15"/>
      <c r="I41" s="84"/>
      <c r="K41" s="87"/>
      <c r="L41" s="5"/>
      <c r="M41" s="2"/>
      <c r="N41" s="2"/>
      <c r="O41" s="3"/>
      <c r="P41" s="4"/>
      <c r="Q41" s="8"/>
      <c r="R41" s="86"/>
    </row>
    <row r="42" spans="2:18" x14ac:dyDescent="0.35">
      <c r="B42" s="85">
        <v>41953</v>
      </c>
      <c r="C42" s="15">
        <v>1000000</v>
      </c>
      <c r="D42" s="2">
        <v>41953</v>
      </c>
      <c r="E42" s="2">
        <v>42317</v>
      </c>
      <c r="F42" s="59">
        <v>365</v>
      </c>
      <c r="G42" s="4">
        <v>0.18</v>
      </c>
      <c r="H42" s="54">
        <f>C42*F42*G42/365</f>
        <v>180000</v>
      </c>
      <c r="I42" s="86">
        <f>+C42+H42</f>
        <v>1180000</v>
      </c>
      <c r="K42" s="85"/>
      <c r="L42" s="514" t="s">
        <v>126</v>
      </c>
      <c r="M42" s="515"/>
      <c r="N42" s="515"/>
      <c r="O42" s="515"/>
      <c r="P42" s="516"/>
      <c r="Q42" s="8">
        <f>SUM(Q39:Q41)</f>
        <v>132189.0410958904</v>
      </c>
      <c r="R42" s="86"/>
    </row>
    <row r="43" spans="2:18" ht="15" thickBot="1" x14ac:dyDescent="0.4">
      <c r="B43" s="85"/>
      <c r="C43" s="54">
        <f>+I42</f>
        <v>1180000</v>
      </c>
      <c r="D43" s="2">
        <v>42318</v>
      </c>
      <c r="E43" s="2">
        <v>42683</v>
      </c>
      <c r="F43" s="59">
        <v>365</v>
      </c>
      <c r="G43" s="4">
        <v>0.18</v>
      </c>
      <c r="H43" s="54">
        <f>C43*F43*G43/365</f>
        <v>212400</v>
      </c>
      <c r="I43" s="86">
        <f>+C43+H43</f>
        <v>1392400</v>
      </c>
      <c r="K43" s="119"/>
      <c r="L43" s="588" t="s">
        <v>43</v>
      </c>
      <c r="M43" s="589"/>
      <c r="N43" s="589"/>
      <c r="O43" s="589"/>
      <c r="P43" s="590"/>
      <c r="Q43" s="120">
        <f>+L39</f>
        <v>500000</v>
      </c>
      <c r="R43" s="121"/>
    </row>
    <row r="44" spans="2:18" ht="15" thickBot="1" x14ac:dyDescent="0.4">
      <c r="B44" s="85"/>
      <c r="C44" s="54">
        <f t="shared" ref="C44:C47" si="5">+I43</f>
        <v>1392400</v>
      </c>
      <c r="D44" s="2">
        <v>42684</v>
      </c>
      <c r="E44" s="2">
        <v>43048</v>
      </c>
      <c r="F44" s="59">
        <v>365</v>
      </c>
      <c r="G44" s="4">
        <v>0.18</v>
      </c>
      <c r="H44" s="54">
        <f t="shared" ref="H44:H47" si="6">C44*F44*G44/365</f>
        <v>250632</v>
      </c>
      <c r="I44" s="86">
        <f t="shared" ref="I44:I47" si="7">+C44+H44</f>
        <v>1643032</v>
      </c>
      <c r="K44" s="123"/>
      <c r="L44" s="585" t="s">
        <v>58</v>
      </c>
      <c r="M44" s="586"/>
      <c r="N44" s="586"/>
      <c r="O44" s="586"/>
      <c r="P44" s="587"/>
      <c r="Q44" s="122">
        <f>SUM(Q42:Q43)</f>
        <v>632189.04109589034</v>
      </c>
      <c r="R44" s="124"/>
    </row>
    <row r="45" spans="2:18" ht="15" thickBot="1" x14ac:dyDescent="0.4">
      <c r="B45" s="85"/>
      <c r="C45" s="54">
        <f t="shared" si="5"/>
        <v>1643032</v>
      </c>
      <c r="D45" s="2">
        <v>43049</v>
      </c>
      <c r="E45" s="2">
        <v>43413</v>
      </c>
      <c r="F45" s="59">
        <v>365</v>
      </c>
      <c r="G45" s="4">
        <v>0.18</v>
      </c>
      <c r="H45" s="54">
        <f t="shared" si="6"/>
        <v>295745.75999999995</v>
      </c>
      <c r="I45" s="86">
        <f t="shared" si="7"/>
        <v>1938777.76</v>
      </c>
    </row>
    <row r="46" spans="2:18" ht="18.5" x14ac:dyDescent="0.45">
      <c r="B46" s="87"/>
      <c r="C46" s="54">
        <f t="shared" si="5"/>
        <v>1938777.76</v>
      </c>
      <c r="D46" s="2">
        <v>43414</v>
      </c>
      <c r="E46" s="2">
        <v>43778</v>
      </c>
      <c r="F46" s="59">
        <v>365</v>
      </c>
      <c r="G46" s="4">
        <v>0.18</v>
      </c>
      <c r="H46" s="54">
        <f t="shared" si="6"/>
        <v>348979.99679999996</v>
      </c>
      <c r="I46" s="86">
        <f t="shared" si="7"/>
        <v>2287757.7568000001</v>
      </c>
      <c r="K46" s="511" t="s">
        <v>128</v>
      </c>
      <c r="L46" s="512"/>
      <c r="M46" s="512"/>
      <c r="N46" s="512"/>
      <c r="O46" s="512"/>
      <c r="P46" s="512"/>
      <c r="Q46" s="512"/>
      <c r="R46" s="513"/>
    </row>
    <row r="47" spans="2:18" x14ac:dyDescent="0.35">
      <c r="B47" s="87"/>
      <c r="C47" s="54">
        <f t="shared" si="5"/>
        <v>2287757.7568000001</v>
      </c>
      <c r="D47" s="2">
        <v>43779</v>
      </c>
      <c r="E47" s="2">
        <v>44144</v>
      </c>
      <c r="F47" s="59">
        <f t="shared" ref="F47" si="8">+E47-D47</f>
        <v>365</v>
      </c>
      <c r="G47" s="4">
        <v>0.18</v>
      </c>
      <c r="H47" s="54">
        <f t="shared" si="6"/>
        <v>411796.39622399997</v>
      </c>
      <c r="I47" s="86">
        <f t="shared" si="7"/>
        <v>2699554.1530240001</v>
      </c>
      <c r="K47" s="105"/>
      <c r="R47" s="107"/>
    </row>
    <row r="48" spans="2:18" ht="29" x14ac:dyDescent="0.35">
      <c r="B48" s="87"/>
      <c r="C48" s="54">
        <f>+I47</f>
        <v>2699554.1530240001</v>
      </c>
      <c r="D48" s="2">
        <v>44145</v>
      </c>
      <c r="E48" s="2">
        <v>44377</v>
      </c>
      <c r="F48" s="59">
        <f t="shared" ref="F48" si="9">+E48-D48</f>
        <v>232</v>
      </c>
      <c r="G48" s="4">
        <v>0.18</v>
      </c>
      <c r="H48" s="54">
        <f t="shared" ref="H48" si="10">C48*F48*G48/365</f>
        <v>308858.57926104724</v>
      </c>
      <c r="I48" s="86">
        <f t="shared" ref="I48" si="11">+C48+H48</f>
        <v>3008412.7322850474</v>
      </c>
      <c r="K48" s="81" t="s">
        <v>1</v>
      </c>
      <c r="L48" s="41" t="s">
        <v>7</v>
      </c>
      <c r="M48" s="41" t="s">
        <v>2</v>
      </c>
      <c r="N48" s="41" t="s">
        <v>3</v>
      </c>
      <c r="O48" s="41" t="s">
        <v>4</v>
      </c>
      <c r="P48" s="41" t="s">
        <v>24</v>
      </c>
      <c r="Q48" s="41" t="s">
        <v>6</v>
      </c>
      <c r="R48" s="82" t="s">
        <v>25</v>
      </c>
    </row>
    <row r="49" spans="2:18" x14ac:dyDescent="0.35">
      <c r="B49" s="87"/>
      <c r="C49" s="54"/>
      <c r="D49" s="2"/>
      <c r="E49" s="2"/>
      <c r="F49" s="59"/>
      <c r="G49" s="4"/>
      <c r="H49" s="54"/>
      <c r="I49" s="86"/>
      <c r="K49" s="83"/>
      <c r="L49" s="12" t="s">
        <v>8</v>
      </c>
      <c r="M49" s="1"/>
      <c r="N49" s="1"/>
      <c r="O49" s="1"/>
      <c r="P49" s="1"/>
      <c r="Q49" s="1"/>
      <c r="R49" s="84"/>
    </row>
    <row r="50" spans="2:18" x14ac:dyDescent="0.35">
      <c r="B50" s="87"/>
      <c r="C50" s="54"/>
      <c r="D50" s="2"/>
      <c r="E50" s="2"/>
      <c r="F50" s="59"/>
      <c r="G50" s="4"/>
      <c r="H50" s="54"/>
      <c r="I50" s="86"/>
      <c r="K50" s="85">
        <v>44091</v>
      </c>
      <c r="L50" s="1">
        <v>2000000</v>
      </c>
      <c r="M50" s="2">
        <v>44092</v>
      </c>
      <c r="N50" s="2">
        <v>44377</v>
      </c>
      <c r="O50" s="59">
        <f>+N50-M50</f>
        <v>285</v>
      </c>
      <c r="P50" s="4">
        <v>0.24</v>
      </c>
      <c r="Q50" s="5">
        <f>L50*O50*P50/365</f>
        <v>374794.52054794523</v>
      </c>
      <c r="R50" s="86">
        <f>+L50+Q50</f>
        <v>2374794.5205479451</v>
      </c>
    </row>
    <row r="51" spans="2:18" x14ac:dyDescent="0.35">
      <c r="B51" s="87"/>
      <c r="C51" s="54"/>
      <c r="D51" s="2"/>
      <c r="E51" s="2"/>
      <c r="F51" s="3"/>
      <c r="G51" s="4"/>
      <c r="H51" s="40"/>
      <c r="I51" s="86"/>
      <c r="K51" s="87"/>
      <c r="L51" s="5"/>
      <c r="M51" s="2"/>
      <c r="N51" s="2"/>
      <c r="O51" s="3"/>
      <c r="P51" s="4"/>
      <c r="Q51" s="8"/>
      <c r="R51" s="86"/>
    </row>
    <row r="52" spans="2:18" x14ac:dyDescent="0.35">
      <c r="B52" s="85"/>
      <c r="C52" s="514" t="s">
        <v>126</v>
      </c>
      <c r="D52" s="515"/>
      <c r="E52" s="515"/>
      <c r="F52" s="515"/>
      <c r="G52" s="516"/>
      <c r="H52" s="40">
        <f>SUM(H42:H51)</f>
        <v>2008412.7322850474</v>
      </c>
      <c r="I52" s="86"/>
      <c r="K52" s="85"/>
      <c r="L52" s="514" t="s">
        <v>42</v>
      </c>
      <c r="M52" s="515"/>
      <c r="N52" s="515"/>
      <c r="O52" s="515"/>
      <c r="P52" s="516"/>
      <c r="Q52" s="8">
        <f>+Q50</f>
        <v>374794.52054794523</v>
      </c>
      <c r="R52" s="86"/>
    </row>
    <row r="53" spans="2:18" ht="15" thickBot="1" x14ac:dyDescent="0.4">
      <c r="B53" s="119"/>
      <c r="C53" s="588" t="s">
        <v>43</v>
      </c>
      <c r="D53" s="589"/>
      <c r="E53" s="589"/>
      <c r="F53" s="589"/>
      <c r="G53" s="590"/>
      <c r="H53" s="230">
        <f>+C42</f>
        <v>1000000</v>
      </c>
      <c r="I53" s="121"/>
      <c r="K53" s="85"/>
      <c r="L53" s="514" t="s">
        <v>43</v>
      </c>
      <c r="M53" s="515"/>
      <c r="N53" s="515"/>
      <c r="O53" s="515"/>
      <c r="P53" s="516"/>
      <c r="Q53" s="8">
        <f>+L50</f>
        <v>2000000</v>
      </c>
      <c r="R53" s="86"/>
    </row>
    <row r="54" spans="2:18" ht="15" thickBot="1" x14ac:dyDescent="0.4">
      <c r="B54" s="123"/>
      <c r="C54" s="585" t="s">
        <v>58</v>
      </c>
      <c r="D54" s="586"/>
      <c r="E54" s="586"/>
      <c r="F54" s="586"/>
      <c r="G54" s="587"/>
      <c r="H54" s="231">
        <f>SUM(H52:H53)</f>
        <v>3008412.7322850474</v>
      </c>
      <c r="I54" s="124"/>
      <c r="K54" s="108"/>
      <c r="L54" s="517" t="s">
        <v>58</v>
      </c>
      <c r="M54" s="518"/>
      <c r="N54" s="518"/>
      <c r="O54" s="518"/>
      <c r="P54" s="519"/>
      <c r="Q54" s="90">
        <f>SUM(Q52:Q53)</f>
        <v>2374794.5205479451</v>
      </c>
      <c r="R54" s="109"/>
    </row>
    <row r="55" spans="2:18" ht="15" thickBot="1" x14ac:dyDescent="0.4"/>
    <row r="56" spans="2:18" ht="18.5" x14ac:dyDescent="0.45">
      <c r="B56" s="511" t="s">
        <v>136</v>
      </c>
      <c r="C56" s="512"/>
      <c r="D56" s="512"/>
      <c r="E56" s="512"/>
      <c r="F56" s="512"/>
      <c r="G56" s="512"/>
      <c r="H56" s="512"/>
      <c r="I56" s="513"/>
      <c r="K56" s="511" t="s">
        <v>152</v>
      </c>
      <c r="L56" s="512"/>
      <c r="M56" s="512"/>
      <c r="N56" s="512"/>
      <c r="O56" s="512"/>
      <c r="P56" s="512"/>
      <c r="Q56" s="512"/>
      <c r="R56" s="513"/>
    </row>
    <row r="57" spans="2:18" x14ac:dyDescent="0.35">
      <c r="B57" s="105"/>
      <c r="I57" s="107"/>
      <c r="K57" s="105"/>
      <c r="R57" s="107"/>
    </row>
    <row r="58" spans="2:18" ht="29" x14ac:dyDescent="0.35">
      <c r="B58" s="81" t="s">
        <v>1</v>
      </c>
      <c r="C58" s="41" t="s">
        <v>7</v>
      </c>
      <c r="D58" s="41" t="s">
        <v>2</v>
      </c>
      <c r="E58" s="41" t="s">
        <v>3</v>
      </c>
      <c r="F58" s="41" t="s">
        <v>4</v>
      </c>
      <c r="G58" s="41" t="s">
        <v>24</v>
      </c>
      <c r="H58" s="41" t="s">
        <v>6</v>
      </c>
      <c r="I58" s="82" t="s">
        <v>25</v>
      </c>
      <c r="K58" s="81" t="s">
        <v>1</v>
      </c>
      <c r="L58" s="41" t="s">
        <v>7</v>
      </c>
      <c r="M58" s="41" t="s">
        <v>2</v>
      </c>
      <c r="N58" s="41" t="s">
        <v>3</v>
      </c>
      <c r="O58" s="41" t="s">
        <v>4</v>
      </c>
      <c r="P58" s="41" t="s">
        <v>24</v>
      </c>
      <c r="Q58" s="41" t="s">
        <v>6</v>
      </c>
      <c r="R58" s="82" t="s">
        <v>25</v>
      </c>
    </row>
    <row r="59" spans="2:18" x14ac:dyDescent="0.35">
      <c r="B59" s="83"/>
      <c r="C59" s="12" t="s">
        <v>8</v>
      </c>
      <c r="D59" s="1"/>
      <c r="E59" s="1"/>
      <c r="F59" s="1"/>
      <c r="G59" s="1"/>
      <c r="H59" s="15"/>
      <c r="I59" s="84"/>
      <c r="K59" s="83"/>
      <c r="L59" s="12" t="s">
        <v>8</v>
      </c>
      <c r="M59" s="1"/>
      <c r="N59" s="1"/>
      <c r="O59" s="1"/>
      <c r="P59" s="1"/>
      <c r="Q59" s="1"/>
      <c r="R59" s="84"/>
    </row>
    <row r="60" spans="2:18" x14ac:dyDescent="0.35">
      <c r="B60" s="85">
        <v>44200</v>
      </c>
      <c r="C60" s="15">
        <v>300000</v>
      </c>
      <c r="D60" s="2">
        <v>44200</v>
      </c>
      <c r="E60" s="2">
        <v>44377</v>
      </c>
      <c r="F60" s="59">
        <f>+E60-D60</f>
        <v>177</v>
      </c>
      <c r="G60" s="4">
        <v>0.18</v>
      </c>
      <c r="H60" s="54">
        <f>C60*F60*G60/365</f>
        <v>26186.301369863013</v>
      </c>
      <c r="I60" s="86">
        <f>+C60+H60</f>
        <v>326186.30136986304</v>
      </c>
      <c r="K60" s="85"/>
      <c r="L60" s="1">
        <v>600000</v>
      </c>
      <c r="M60" s="2">
        <v>43191</v>
      </c>
      <c r="N60" s="2">
        <v>43555</v>
      </c>
      <c r="O60" s="59">
        <v>365</v>
      </c>
      <c r="P60" s="4">
        <v>0.18</v>
      </c>
      <c r="Q60" s="5">
        <f>L60*O60*P60/365</f>
        <v>108000</v>
      </c>
      <c r="R60" s="86">
        <f>+L60+Q60</f>
        <v>708000</v>
      </c>
    </row>
    <row r="61" spans="2:18" x14ac:dyDescent="0.35">
      <c r="B61" s="87"/>
      <c r="C61" s="54"/>
      <c r="D61" s="2"/>
      <c r="E61" s="2"/>
      <c r="F61" s="3"/>
      <c r="G61" s="4"/>
      <c r="H61" s="40"/>
      <c r="I61" s="86"/>
      <c r="K61" s="85"/>
      <c r="L61" s="5">
        <f>+R60</f>
        <v>708000</v>
      </c>
      <c r="M61" s="2">
        <v>43556</v>
      </c>
      <c r="N61" s="2">
        <v>43921</v>
      </c>
      <c r="O61" s="59">
        <v>365</v>
      </c>
      <c r="P61" s="4">
        <v>0.18</v>
      </c>
      <c r="Q61" s="5">
        <f t="shared" ref="Q61:Q64" si="12">L61*O61*P61/365</f>
        <v>127440</v>
      </c>
      <c r="R61" s="86">
        <f t="shared" ref="R61:R64" si="13">+L61+Q61</f>
        <v>835440</v>
      </c>
    </row>
    <row r="62" spans="2:18" x14ac:dyDescent="0.35">
      <c r="B62" s="85"/>
      <c r="C62" s="514" t="s">
        <v>42</v>
      </c>
      <c r="D62" s="515"/>
      <c r="E62" s="515"/>
      <c r="F62" s="515"/>
      <c r="G62" s="516"/>
      <c r="H62" s="40">
        <f>+H60</f>
        <v>26186.301369863013</v>
      </c>
      <c r="I62" s="86"/>
      <c r="K62" s="85"/>
      <c r="L62" s="5">
        <f t="shared" ref="L62:L63" si="14">+R61</f>
        <v>835440</v>
      </c>
      <c r="M62" s="2">
        <v>43922</v>
      </c>
      <c r="N62" s="2">
        <v>44286</v>
      </c>
      <c r="O62" s="59">
        <v>365</v>
      </c>
      <c r="P62" s="4">
        <v>0.18</v>
      </c>
      <c r="Q62" s="5">
        <f t="shared" si="12"/>
        <v>150379.20000000001</v>
      </c>
      <c r="R62" s="86">
        <f t="shared" si="13"/>
        <v>985819.2</v>
      </c>
    </row>
    <row r="63" spans="2:18" x14ac:dyDescent="0.35">
      <c r="B63" s="85"/>
      <c r="C63" s="514" t="s">
        <v>43</v>
      </c>
      <c r="D63" s="515"/>
      <c r="E63" s="515"/>
      <c r="F63" s="515"/>
      <c r="G63" s="516"/>
      <c r="H63" s="40">
        <f>+C60</f>
        <v>300000</v>
      </c>
      <c r="I63" s="86"/>
      <c r="K63" s="85"/>
      <c r="L63" s="5">
        <f t="shared" si="14"/>
        <v>985819.2</v>
      </c>
      <c r="M63" s="2">
        <v>44287</v>
      </c>
      <c r="N63" s="2">
        <v>44377</v>
      </c>
      <c r="O63" s="59">
        <v>365</v>
      </c>
      <c r="P63" s="4">
        <v>0.18</v>
      </c>
      <c r="Q63" s="5">
        <f t="shared" si="12"/>
        <v>177447.45600000001</v>
      </c>
      <c r="R63" s="86">
        <f t="shared" si="13"/>
        <v>1163266.656</v>
      </c>
    </row>
    <row r="64" spans="2:18" ht="15" thickBot="1" x14ac:dyDescent="0.4">
      <c r="B64" s="108"/>
      <c r="C64" s="517" t="s">
        <v>58</v>
      </c>
      <c r="D64" s="518"/>
      <c r="E64" s="518"/>
      <c r="F64" s="518"/>
      <c r="G64" s="519"/>
      <c r="H64" s="290">
        <f>SUM(H62:H63)</f>
        <v>326186.30136986304</v>
      </c>
      <c r="I64" s="109"/>
      <c r="K64" s="85"/>
      <c r="L64" s="5"/>
      <c r="M64" s="2"/>
      <c r="N64" s="2"/>
      <c r="O64" s="59"/>
      <c r="P64" s="4">
        <v>0.18</v>
      </c>
      <c r="Q64" s="5">
        <f t="shared" si="12"/>
        <v>0</v>
      </c>
      <c r="R64" s="86">
        <f t="shared" si="13"/>
        <v>0</v>
      </c>
    </row>
    <row r="65" spans="2:18" ht="15" thickBot="1" x14ac:dyDescent="0.4">
      <c r="K65" s="85"/>
      <c r="L65" s="1"/>
      <c r="M65" s="2"/>
      <c r="N65" s="2"/>
      <c r="O65" s="59"/>
      <c r="P65" s="4"/>
      <c r="Q65" s="5"/>
      <c r="R65" s="86"/>
    </row>
    <row r="66" spans="2:18" ht="18.5" x14ac:dyDescent="0.45">
      <c r="B66" s="511" t="s">
        <v>137</v>
      </c>
      <c r="C66" s="512"/>
      <c r="D66" s="512"/>
      <c r="E66" s="512"/>
      <c r="F66" s="512"/>
      <c r="G66" s="512"/>
      <c r="H66" s="512"/>
      <c r="I66" s="513"/>
      <c r="K66" s="87"/>
      <c r="L66" s="5"/>
      <c r="M66" s="2"/>
      <c r="N66" s="2"/>
      <c r="O66" s="3"/>
      <c r="P66" s="4"/>
      <c r="Q66" s="8"/>
      <c r="R66" s="86"/>
    </row>
    <row r="67" spans="2:18" x14ac:dyDescent="0.35">
      <c r="B67" s="105"/>
      <c r="I67" s="107"/>
      <c r="K67" s="85"/>
      <c r="L67" s="514" t="s">
        <v>42</v>
      </c>
      <c r="M67" s="515"/>
      <c r="N67" s="515"/>
      <c r="O67" s="515"/>
      <c r="P67" s="516"/>
      <c r="Q67" s="8">
        <f>SUM(Q60:Q66)</f>
        <v>563266.65599999996</v>
      </c>
      <c r="R67" s="86"/>
    </row>
    <row r="68" spans="2:18" ht="29" x14ac:dyDescent="0.35">
      <c r="B68" s="81" t="s">
        <v>1</v>
      </c>
      <c r="C68" s="41" t="s">
        <v>7</v>
      </c>
      <c r="D68" s="41" t="s">
        <v>2</v>
      </c>
      <c r="E68" s="41" t="s">
        <v>3</v>
      </c>
      <c r="F68" s="41" t="s">
        <v>4</v>
      </c>
      <c r="G68" s="41" t="s">
        <v>24</v>
      </c>
      <c r="H68" s="41" t="s">
        <v>6</v>
      </c>
      <c r="I68" s="82" t="s">
        <v>25</v>
      </c>
      <c r="K68" s="85"/>
      <c r="L68" s="514" t="s">
        <v>43</v>
      </c>
      <c r="M68" s="515"/>
      <c r="N68" s="515"/>
      <c r="O68" s="515"/>
      <c r="P68" s="516"/>
      <c r="Q68" s="8">
        <f>+L60</f>
        <v>600000</v>
      </c>
      <c r="R68" s="86"/>
    </row>
    <row r="69" spans="2:18" ht="15" thickBot="1" x14ac:dyDescent="0.4">
      <c r="B69" s="83"/>
      <c r="C69" s="12" t="s">
        <v>8</v>
      </c>
      <c r="D69" s="1"/>
      <c r="E69" s="1"/>
      <c r="F69" s="1"/>
      <c r="G69" s="1"/>
      <c r="H69" s="15"/>
      <c r="I69" s="84"/>
      <c r="K69" s="108"/>
      <c r="L69" s="517" t="s">
        <v>58</v>
      </c>
      <c r="M69" s="518"/>
      <c r="N69" s="518"/>
      <c r="O69" s="518"/>
      <c r="P69" s="519"/>
      <c r="Q69" s="90">
        <f>SUM(Q67:Q68)</f>
        <v>1163266.656</v>
      </c>
      <c r="R69" s="109"/>
    </row>
    <row r="70" spans="2:18" x14ac:dyDescent="0.35">
      <c r="B70" s="85">
        <v>42742</v>
      </c>
      <c r="C70" s="15">
        <v>850000</v>
      </c>
      <c r="D70" s="2">
        <v>42742</v>
      </c>
      <c r="E70" s="2">
        <v>43106</v>
      </c>
      <c r="F70" s="59">
        <v>365</v>
      </c>
      <c r="G70" s="4">
        <v>0.18</v>
      </c>
      <c r="H70" s="54">
        <f>C70*F70*G70/365</f>
        <v>153000</v>
      </c>
      <c r="I70" s="86">
        <f>+C70+H70</f>
        <v>1003000</v>
      </c>
    </row>
    <row r="71" spans="2:18" x14ac:dyDescent="0.35">
      <c r="B71" s="85"/>
      <c r="C71" s="54">
        <f>+I70</f>
        <v>1003000</v>
      </c>
      <c r="D71" s="2">
        <v>43107</v>
      </c>
      <c r="E71" s="2">
        <v>43471</v>
      </c>
      <c r="F71" s="59">
        <v>365</v>
      </c>
      <c r="G71" s="4">
        <v>0.18</v>
      </c>
      <c r="H71" s="54">
        <f t="shared" ref="H71:H74" si="15">C71*F71*G71/365</f>
        <v>180540</v>
      </c>
      <c r="I71" s="86">
        <f t="shared" ref="I71:I74" si="16">+C71+H71</f>
        <v>1183540</v>
      </c>
    </row>
    <row r="72" spans="2:18" x14ac:dyDescent="0.35">
      <c r="B72" s="85"/>
      <c r="C72" s="54">
        <f t="shared" ref="C72:C74" si="17">+I71</f>
        <v>1183540</v>
      </c>
      <c r="D72" s="2">
        <v>43472</v>
      </c>
      <c r="E72" s="2">
        <v>43836</v>
      </c>
      <c r="F72" s="59">
        <v>365</v>
      </c>
      <c r="G72" s="4">
        <v>0.18</v>
      </c>
      <c r="H72" s="54">
        <f t="shared" si="15"/>
        <v>213037.2</v>
      </c>
      <c r="I72" s="86">
        <f t="shared" si="16"/>
        <v>1396577.2</v>
      </c>
    </row>
    <row r="73" spans="2:18" x14ac:dyDescent="0.35">
      <c r="B73" s="85"/>
      <c r="C73" s="54">
        <f t="shared" si="17"/>
        <v>1396577.2</v>
      </c>
      <c r="D73" s="2">
        <v>43837</v>
      </c>
      <c r="E73" s="2">
        <v>44202</v>
      </c>
      <c r="F73" s="59">
        <v>365</v>
      </c>
      <c r="G73" s="4">
        <v>0.18</v>
      </c>
      <c r="H73" s="54">
        <f t="shared" si="15"/>
        <v>251383.89599999998</v>
      </c>
      <c r="I73" s="86">
        <f t="shared" si="16"/>
        <v>1647961.0959999999</v>
      </c>
    </row>
    <row r="74" spans="2:18" x14ac:dyDescent="0.35">
      <c r="B74" s="85"/>
      <c r="C74" s="54">
        <f t="shared" si="17"/>
        <v>1647961.0959999999</v>
      </c>
      <c r="D74" s="2">
        <v>44203</v>
      </c>
      <c r="E74" s="2">
        <v>44377</v>
      </c>
      <c r="F74" s="59">
        <f>+E74-D74</f>
        <v>174</v>
      </c>
      <c r="G74" s="4">
        <v>0.18</v>
      </c>
      <c r="H74" s="54">
        <f t="shared" si="15"/>
        <v>141408.60692252053</v>
      </c>
      <c r="I74" s="86">
        <f t="shared" si="16"/>
        <v>1789369.7029225205</v>
      </c>
    </row>
    <row r="75" spans="2:18" x14ac:dyDescent="0.35">
      <c r="B75" s="85"/>
      <c r="C75" s="15"/>
      <c r="D75" s="2"/>
      <c r="E75" s="2"/>
      <c r="F75" s="59"/>
      <c r="G75" s="4"/>
      <c r="H75" s="54"/>
      <c r="I75" s="86"/>
    </row>
    <row r="76" spans="2:18" x14ac:dyDescent="0.35">
      <c r="B76" s="87"/>
      <c r="C76" s="54"/>
      <c r="D76" s="2"/>
      <c r="E76" s="2"/>
      <c r="F76" s="3"/>
      <c r="G76" s="4"/>
      <c r="H76" s="40"/>
      <c r="I76" s="86"/>
    </row>
    <row r="77" spans="2:18" x14ac:dyDescent="0.35">
      <c r="B77" s="85"/>
      <c r="C77" s="514" t="s">
        <v>42</v>
      </c>
      <c r="D77" s="515"/>
      <c r="E77" s="515"/>
      <c r="F77" s="515"/>
      <c r="G77" s="516"/>
      <c r="H77" s="40">
        <f>SUM(H70:H76)</f>
        <v>939369.70292252046</v>
      </c>
      <c r="I77" s="86"/>
    </row>
    <row r="78" spans="2:18" x14ac:dyDescent="0.35">
      <c r="B78" s="85"/>
      <c r="C78" s="514" t="s">
        <v>43</v>
      </c>
      <c r="D78" s="515"/>
      <c r="E78" s="515"/>
      <c r="F78" s="515"/>
      <c r="G78" s="516"/>
      <c r="H78" s="40">
        <f>+C70</f>
        <v>850000</v>
      </c>
      <c r="I78" s="86"/>
    </row>
    <row r="79" spans="2:18" ht="15" thickBot="1" x14ac:dyDescent="0.4">
      <c r="B79" s="108"/>
      <c r="C79" s="517" t="s">
        <v>58</v>
      </c>
      <c r="D79" s="518"/>
      <c r="E79" s="518"/>
      <c r="F79" s="518"/>
      <c r="G79" s="519"/>
      <c r="H79" s="290">
        <f>SUM(H77:H78)</f>
        <v>1789369.7029225205</v>
      </c>
      <c r="I79" s="109"/>
    </row>
    <row r="83" spans="2:9" ht="15" thickBot="1" x14ac:dyDescent="0.4"/>
    <row r="84" spans="2:9" ht="19" thickBot="1" x14ac:dyDescent="0.5">
      <c r="B84" s="701" t="s">
        <v>365</v>
      </c>
      <c r="C84" s="702"/>
      <c r="D84" s="702"/>
      <c r="E84" s="702"/>
      <c r="F84" s="702"/>
      <c r="G84" s="702"/>
      <c r="H84" s="702"/>
      <c r="I84" s="703"/>
    </row>
    <row r="85" spans="2:9" s="254" customFormat="1" ht="29.5" thickBot="1" x14ac:dyDescent="0.4">
      <c r="B85" s="301" t="s">
        <v>1</v>
      </c>
      <c r="C85" s="302" t="s">
        <v>7</v>
      </c>
      <c r="D85" s="302" t="s">
        <v>2</v>
      </c>
      <c r="E85" s="302" t="s">
        <v>3</v>
      </c>
      <c r="F85" s="302" t="s">
        <v>4</v>
      </c>
      <c r="G85" s="302" t="s">
        <v>24</v>
      </c>
      <c r="H85" s="302" t="s">
        <v>6</v>
      </c>
      <c r="I85" s="303" t="s">
        <v>25</v>
      </c>
    </row>
    <row r="86" spans="2:9" x14ac:dyDescent="0.35">
      <c r="B86" s="309"/>
      <c r="C86" s="310" t="s">
        <v>21</v>
      </c>
      <c r="D86" s="177"/>
      <c r="E86" s="177"/>
      <c r="F86" s="177"/>
      <c r="G86" s="177"/>
      <c r="H86" s="320"/>
      <c r="I86" s="178"/>
    </row>
    <row r="87" spans="2:9" x14ac:dyDescent="0.35">
      <c r="B87" s="85" t="s">
        <v>354</v>
      </c>
      <c r="C87" s="15">
        <v>5000000</v>
      </c>
      <c r="D87" s="17">
        <v>45756</v>
      </c>
      <c r="E87" s="17">
        <v>46087</v>
      </c>
      <c r="F87" s="449">
        <f>E87-D87</f>
        <v>331</v>
      </c>
      <c r="G87" s="221">
        <v>0.24</v>
      </c>
      <c r="H87" s="54">
        <f>C87*F87*G87/365</f>
        <v>1088219.1780821919</v>
      </c>
      <c r="I87" s="222">
        <f>+C87+H87</f>
        <v>6088219.1780821923</v>
      </c>
    </row>
    <row r="88" spans="2:9" x14ac:dyDescent="0.35">
      <c r="B88" s="85"/>
      <c r="C88" s="54"/>
      <c r="D88" s="2"/>
      <c r="E88" s="17"/>
      <c r="F88" s="56"/>
      <c r="G88" s="221"/>
      <c r="H88" s="54"/>
      <c r="I88" s="222"/>
    </row>
    <row r="89" spans="2:9" x14ac:dyDescent="0.35">
      <c r="B89" s="85"/>
      <c r="C89" s="15"/>
      <c r="D89" s="2"/>
      <c r="E89" s="17"/>
      <c r="F89" s="56"/>
      <c r="G89" s="221"/>
      <c r="H89" s="54"/>
      <c r="I89" s="222"/>
    </row>
    <row r="90" spans="2:9" ht="15" thickBot="1" x14ac:dyDescent="0.4">
      <c r="B90" s="377"/>
      <c r="C90" s="232"/>
      <c r="D90" s="141"/>
      <c r="E90" s="140"/>
      <c r="F90" s="422"/>
      <c r="G90" s="258"/>
      <c r="H90" s="230"/>
      <c r="I90" s="281"/>
    </row>
    <row r="91" spans="2:9" s="9" customFormat="1" ht="15" thickBot="1" x14ac:dyDescent="0.4">
      <c r="B91" s="378"/>
      <c r="C91" s="398">
        <f>SUM(C87:C90)</f>
        <v>5000000</v>
      </c>
      <c r="D91" s="585" t="s">
        <v>349</v>
      </c>
      <c r="E91" s="586"/>
      <c r="F91" s="586"/>
      <c r="G91" s="587"/>
      <c r="H91" s="225">
        <f>SUM(H87:H90)</f>
        <v>1088219.1780821919</v>
      </c>
      <c r="I91" s="131"/>
    </row>
    <row r="92" spans="2:9" ht="15" thickBot="1" x14ac:dyDescent="0.4">
      <c r="B92" s="105"/>
      <c r="I92" s="107"/>
    </row>
    <row r="93" spans="2:9" x14ac:dyDescent="0.35">
      <c r="B93" s="309"/>
      <c r="C93" s="310" t="s">
        <v>153</v>
      </c>
      <c r="D93" s="177"/>
      <c r="E93" s="177"/>
      <c r="F93" s="177"/>
      <c r="G93" s="177"/>
      <c r="H93" s="320"/>
      <c r="I93" s="178"/>
    </row>
    <row r="94" spans="2:9" x14ac:dyDescent="0.35">
      <c r="B94" s="85" t="s">
        <v>355</v>
      </c>
      <c r="C94" s="15">
        <v>2000000</v>
      </c>
      <c r="D94" s="17">
        <v>45873</v>
      </c>
      <c r="E94" s="17">
        <v>46087</v>
      </c>
      <c r="F94" s="449">
        <f>E94-D94</f>
        <v>214</v>
      </c>
      <c r="G94" s="221">
        <v>0.24</v>
      </c>
      <c r="H94" s="54">
        <f>C94*F94*G94/365</f>
        <v>281424.65753424657</v>
      </c>
      <c r="I94" s="222">
        <f>+C94+H94</f>
        <v>2281424.6575342463</v>
      </c>
    </row>
    <row r="95" spans="2:9" x14ac:dyDescent="0.35">
      <c r="B95" s="85" t="s">
        <v>356</v>
      </c>
      <c r="C95" s="15">
        <v>1000000</v>
      </c>
      <c r="D95" s="17">
        <v>45992</v>
      </c>
      <c r="E95" s="17">
        <v>46087</v>
      </c>
      <c r="F95" s="449">
        <f>E95-D95</f>
        <v>95</v>
      </c>
      <c r="G95" s="221">
        <v>0.24</v>
      </c>
      <c r="H95" s="54">
        <f>C95*F95*G95/365</f>
        <v>62465.753424657538</v>
      </c>
      <c r="I95" s="222">
        <f>+C95+H95</f>
        <v>1062465.7534246575</v>
      </c>
    </row>
    <row r="96" spans="2:9" x14ac:dyDescent="0.35">
      <c r="B96" s="83" t="s">
        <v>357</v>
      </c>
      <c r="C96" s="15">
        <v>800000</v>
      </c>
      <c r="D96" s="17">
        <v>46020</v>
      </c>
      <c r="E96" s="17">
        <v>46087</v>
      </c>
      <c r="F96" s="449">
        <f>E96-D96</f>
        <v>67</v>
      </c>
      <c r="G96" s="221">
        <v>0.24</v>
      </c>
      <c r="H96" s="54">
        <f>C96*F96*G96/365</f>
        <v>35243.835616438359</v>
      </c>
      <c r="I96" s="222">
        <f>+C96+H96</f>
        <v>835243.83561643842</v>
      </c>
    </row>
    <row r="97" spans="2:9" x14ac:dyDescent="0.35">
      <c r="B97" s="83" t="s">
        <v>364</v>
      </c>
      <c r="C97" s="15">
        <v>900000</v>
      </c>
      <c r="D97" s="17">
        <v>46062</v>
      </c>
      <c r="E97" s="17">
        <v>46087</v>
      </c>
      <c r="F97" s="449">
        <f>E97-D97</f>
        <v>25</v>
      </c>
      <c r="G97" s="221">
        <v>0.24</v>
      </c>
      <c r="H97" s="54">
        <f>C97*F97*G97/365</f>
        <v>14794.520547945205</v>
      </c>
      <c r="I97" s="222">
        <f>+C97+H97</f>
        <v>914794.52054794517</v>
      </c>
    </row>
    <row r="98" spans="2:9" x14ac:dyDescent="0.35">
      <c r="B98" s="83"/>
      <c r="C98" s="15"/>
      <c r="D98" s="1"/>
      <c r="E98" s="1"/>
      <c r="F98" s="1"/>
      <c r="G98" s="1"/>
      <c r="H98" s="15"/>
      <c r="I98" s="84"/>
    </row>
    <row r="99" spans="2:9" ht="15" thickBot="1" x14ac:dyDescent="0.4">
      <c r="B99" s="108"/>
      <c r="C99" s="448"/>
      <c r="D99" s="173"/>
      <c r="E99" s="173"/>
      <c r="F99" s="173"/>
      <c r="G99" s="173"/>
      <c r="H99" s="448"/>
      <c r="I99" s="109"/>
    </row>
    <row r="100" spans="2:9" s="137" customFormat="1" ht="16" thickBot="1" x14ac:dyDescent="0.4">
      <c r="B100" s="450"/>
      <c r="C100" s="451">
        <f>SUM(C94:C99)</f>
        <v>4700000</v>
      </c>
      <c r="D100" s="697" t="s">
        <v>350</v>
      </c>
      <c r="E100" s="698"/>
      <c r="F100" s="698"/>
      <c r="G100" s="699"/>
      <c r="H100" s="455">
        <f>SUM(H94:H99)</f>
        <v>393928.76712328766</v>
      </c>
      <c r="I100" s="452"/>
    </row>
    <row r="101" spans="2:9" ht="15" thickBot="1" x14ac:dyDescent="0.4">
      <c r="B101" s="105"/>
      <c r="I101" s="107"/>
    </row>
    <row r="102" spans="2:9" ht="15.5" x14ac:dyDescent="0.35">
      <c r="B102" s="458"/>
      <c r="C102" s="696" t="s">
        <v>351</v>
      </c>
      <c r="D102" s="696"/>
      <c r="E102" s="696"/>
      <c r="F102" s="696"/>
      <c r="G102" s="696"/>
      <c r="H102" s="453">
        <f>C91-C100</f>
        <v>300000</v>
      </c>
      <c r="I102" s="454"/>
    </row>
    <row r="103" spans="2:9" ht="14.5" customHeight="1" thickBot="1" x14ac:dyDescent="0.4">
      <c r="B103" s="459"/>
      <c r="C103" s="700" t="s">
        <v>352</v>
      </c>
      <c r="D103" s="700"/>
      <c r="E103" s="700"/>
      <c r="F103" s="700"/>
      <c r="G103" s="700"/>
      <c r="H103" s="456">
        <f>H91-H100</f>
        <v>694290.41095890419</v>
      </c>
      <c r="I103" s="266"/>
    </row>
    <row r="104" spans="2:9" s="425" customFormat="1" ht="19" thickBot="1" x14ac:dyDescent="0.5">
      <c r="B104" s="447"/>
      <c r="C104" s="616" t="s">
        <v>353</v>
      </c>
      <c r="D104" s="616"/>
      <c r="E104" s="616"/>
      <c r="F104" s="616"/>
      <c r="G104" s="616"/>
      <c r="H104" s="457">
        <f>+H102+H103</f>
        <v>994290.41095890419</v>
      </c>
      <c r="I104" s="339"/>
    </row>
    <row r="108" spans="2:9" ht="15" thickBot="1" x14ac:dyDescent="0.4"/>
    <row r="109" spans="2:9" ht="15" thickBot="1" x14ac:dyDescent="0.4">
      <c r="B109" s="176" t="s">
        <v>359</v>
      </c>
      <c r="C109" s="320">
        <v>5000000</v>
      </c>
      <c r="D109" s="460">
        <v>45736</v>
      </c>
      <c r="E109" s="460">
        <v>45950</v>
      </c>
      <c r="F109" s="461">
        <f>E109-D109</f>
        <v>214</v>
      </c>
      <c r="G109" s="462">
        <v>0.18</v>
      </c>
      <c r="H109" s="356">
        <f>C109*F109*G109/365</f>
        <v>527671.23287671234</v>
      </c>
      <c r="I109" s="364">
        <f>+C109+H109</f>
        <v>5527671.2328767125</v>
      </c>
    </row>
    <row r="110" spans="2:9" x14ac:dyDescent="0.35">
      <c r="B110" s="85" t="s">
        <v>360</v>
      </c>
      <c r="C110" s="15">
        <v>1000000</v>
      </c>
      <c r="D110" s="460">
        <v>45950</v>
      </c>
      <c r="E110" s="17">
        <v>46059</v>
      </c>
      <c r="F110" s="449">
        <f>E110-D110</f>
        <v>109</v>
      </c>
      <c r="G110" s="221">
        <v>0.18</v>
      </c>
      <c r="H110" s="54">
        <f>C110*F110*G110/365</f>
        <v>53753.424657534248</v>
      </c>
      <c r="I110" s="222">
        <f>+C110+H110</f>
        <v>1053753.4246575343</v>
      </c>
    </row>
    <row r="111" spans="2:9" ht="15" thickBot="1" x14ac:dyDescent="0.4">
      <c r="B111" s="179"/>
      <c r="C111" s="233"/>
      <c r="D111" s="174"/>
      <c r="E111" s="174"/>
      <c r="F111" s="174"/>
      <c r="G111" s="174"/>
      <c r="H111" s="233"/>
      <c r="I111" s="129"/>
    </row>
    <row r="112" spans="2:9" ht="15" thickBot="1" x14ac:dyDescent="0.4">
      <c r="B112" s="123"/>
      <c r="C112" s="398"/>
      <c r="D112" s="175"/>
      <c r="E112" s="175"/>
      <c r="F112" s="175"/>
      <c r="G112" s="175"/>
      <c r="H112" s="390">
        <f>SUM(H109:H111)</f>
        <v>581424.65753424657</v>
      </c>
      <c r="I112" s="124"/>
    </row>
    <row r="122" spans="2:4" ht="15" thickBot="1" x14ac:dyDescent="0.4"/>
    <row r="123" spans="2:4" x14ac:dyDescent="0.35">
      <c r="B123" s="464" t="s">
        <v>359</v>
      </c>
      <c r="C123" s="465" t="s">
        <v>358</v>
      </c>
      <c r="D123" s="178">
        <v>5000000</v>
      </c>
    </row>
    <row r="124" spans="2:4" x14ac:dyDescent="0.35">
      <c r="B124" s="463" t="s">
        <v>363</v>
      </c>
      <c r="C124" s="22" t="s">
        <v>13</v>
      </c>
      <c r="D124" s="84">
        <v>4000000</v>
      </c>
    </row>
    <row r="125" spans="2:4" ht="15" thickBot="1" x14ac:dyDescent="0.4">
      <c r="B125" s="708"/>
      <c r="C125" s="590"/>
      <c r="D125" s="129"/>
    </row>
    <row r="126" spans="2:4" ht="15" thickBot="1" x14ac:dyDescent="0.4">
      <c r="B126" s="709" t="s">
        <v>14</v>
      </c>
      <c r="C126" s="710"/>
      <c r="D126" s="124">
        <f>D123-D124</f>
        <v>1000000</v>
      </c>
    </row>
    <row r="127" spans="2:4" x14ac:dyDescent="0.35">
      <c r="B127" s="704" t="s">
        <v>361</v>
      </c>
      <c r="C127" s="705"/>
      <c r="D127" s="130">
        <v>525000</v>
      </c>
    </row>
    <row r="128" spans="2:4" x14ac:dyDescent="0.35">
      <c r="B128" s="706" t="s">
        <v>366</v>
      </c>
      <c r="C128" s="707"/>
      <c r="D128" s="86">
        <v>97973</v>
      </c>
    </row>
    <row r="129" spans="2:8" ht="15" thickBot="1" x14ac:dyDescent="0.4">
      <c r="B129" s="708"/>
      <c r="C129" s="590"/>
      <c r="D129" s="129"/>
    </row>
    <row r="130" spans="2:8" ht="15" thickBot="1" x14ac:dyDescent="0.4">
      <c r="B130" s="524" t="s">
        <v>362</v>
      </c>
      <c r="C130" s="525"/>
      <c r="D130" s="466">
        <f>SUM(D126:D129)</f>
        <v>1622973</v>
      </c>
    </row>
    <row r="137" spans="2:8" x14ac:dyDescent="0.35">
      <c r="B137"/>
      <c r="C137"/>
      <c r="H137"/>
    </row>
    <row r="138" spans="2:8" x14ac:dyDescent="0.35">
      <c r="B138"/>
      <c r="C138"/>
      <c r="H138"/>
    </row>
    <row r="139" spans="2:8" x14ac:dyDescent="0.35">
      <c r="B139"/>
      <c r="C139"/>
      <c r="H139"/>
    </row>
    <row r="140" spans="2:8" x14ac:dyDescent="0.35">
      <c r="B140"/>
      <c r="C140"/>
      <c r="H140"/>
    </row>
    <row r="141" spans="2:8" x14ac:dyDescent="0.35">
      <c r="B141"/>
      <c r="C141"/>
      <c r="H141"/>
    </row>
    <row r="142" spans="2:8" x14ac:dyDescent="0.35">
      <c r="B142"/>
      <c r="C142"/>
      <c r="H142"/>
    </row>
    <row r="143" spans="2:8" x14ac:dyDescent="0.35">
      <c r="B143"/>
      <c r="C143"/>
      <c r="H143"/>
    </row>
    <row r="144" spans="2:8" x14ac:dyDescent="0.35">
      <c r="B144"/>
      <c r="C144"/>
      <c r="H144"/>
    </row>
    <row r="145" customFormat="1" x14ac:dyDescent="0.35"/>
    <row r="146" customFormat="1" x14ac:dyDescent="0.35"/>
  </sheetData>
  <mergeCells count="60">
    <mergeCell ref="B127:C127"/>
    <mergeCell ref="B128:C128"/>
    <mergeCell ref="B130:C130"/>
    <mergeCell ref="B129:C129"/>
    <mergeCell ref="B125:C125"/>
    <mergeCell ref="B126:C126"/>
    <mergeCell ref="C35:G35"/>
    <mergeCell ref="C36:G36"/>
    <mergeCell ref="L10:P10"/>
    <mergeCell ref="K12:R12"/>
    <mergeCell ref="B12:I12"/>
    <mergeCell ref="B23:I23"/>
    <mergeCell ref="C34:G34"/>
    <mergeCell ref="B1:I1"/>
    <mergeCell ref="C8:G8"/>
    <mergeCell ref="C9:G9"/>
    <mergeCell ref="C10:G10"/>
    <mergeCell ref="L52:P52"/>
    <mergeCell ref="B38:I38"/>
    <mergeCell ref="C52:G52"/>
    <mergeCell ref="L19:P19"/>
    <mergeCell ref="L20:P20"/>
    <mergeCell ref="L21:P21"/>
    <mergeCell ref="C18:G18"/>
    <mergeCell ref="C19:G19"/>
    <mergeCell ref="C20:G20"/>
    <mergeCell ref="K1:R1"/>
    <mergeCell ref="L8:P8"/>
    <mergeCell ref="L9:P9"/>
    <mergeCell ref="L53:P53"/>
    <mergeCell ref="L54:P54"/>
    <mergeCell ref="K46:R46"/>
    <mergeCell ref="K24:R24"/>
    <mergeCell ref="L31:P31"/>
    <mergeCell ref="L32:P32"/>
    <mergeCell ref="L33:P33"/>
    <mergeCell ref="K35:R35"/>
    <mergeCell ref="L42:P42"/>
    <mergeCell ref="L43:P43"/>
    <mergeCell ref="L44:P44"/>
    <mergeCell ref="C53:G53"/>
    <mergeCell ref="C54:G54"/>
    <mergeCell ref="B56:I56"/>
    <mergeCell ref="C78:G78"/>
    <mergeCell ref="C79:G79"/>
    <mergeCell ref="C77:G77"/>
    <mergeCell ref="B84:I84"/>
    <mergeCell ref="K56:R56"/>
    <mergeCell ref="L67:P67"/>
    <mergeCell ref="L68:P68"/>
    <mergeCell ref="L69:P69"/>
    <mergeCell ref="C62:G62"/>
    <mergeCell ref="C63:G63"/>
    <mergeCell ref="C64:G64"/>
    <mergeCell ref="B66:I66"/>
    <mergeCell ref="C104:G104"/>
    <mergeCell ref="C102:G102"/>
    <mergeCell ref="D91:G91"/>
    <mergeCell ref="D100:G100"/>
    <mergeCell ref="C103:G103"/>
  </mergeCells>
  <printOptions horizontalCentered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J103"/>
  <sheetViews>
    <sheetView topLeftCell="A47" workbookViewId="0">
      <selection activeCell="M62" sqref="M62"/>
    </sheetView>
  </sheetViews>
  <sheetFormatPr defaultColWidth="9.453125" defaultRowHeight="14.5" x14ac:dyDescent="0.35"/>
  <cols>
    <col min="1" max="1" width="3.90625" customWidth="1"/>
    <col min="2" max="2" width="10.08984375" bestFit="1" customWidth="1"/>
    <col min="3" max="3" width="11.453125" bestFit="1" customWidth="1"/>
    <col min="4" max="4" width="10.08984375" bestFit="1" customWidth="1"/>
    <col min="5" max="5" width="12" customWidth="1"/>
    <col min="6" max="6" width="10.08984375" bestFit="1" customWidth="1"/>
    <col min="7" max="7" width="8.1796875" bestFit="1" customWidth="1"/>
    <col min="8" max="8" width="9.54296875" customWidth="1"/>
    <col min="9" max="9" width="8.81640625" bestFit="1" customWidth="1"/>
    <col min="10" max="10" width="9" customWidth="1"/>
    <col min="11" max="11" width="3.81640625" customWidth="1"/>
  </cols>
  <sheetData>
    <row r="1" spans="2:9" ht="18.5" x14ac:dyDescent="0.45">
      <c r="B1" s="511" t="s">
        <v>121</v>
      </c>
      <c r="C1" s="512"/>
      <c r="D1" s="512"/>
      <c r="E1" s="512"/>
      <c r="F1" s="512"/>
      <c r="G1" s="512"/>
      <c r="H1" s="512"/>
      <c r="I1" s="513"/>
    </row>
    <row r="2" spans="2:9" x14ac:dyDescent="0.35">
      <c r="B2" s="105"/>
      <c r="I2" s="107"/>
    </row>
    <row r="3" spans="2:9" ht="29" x14ac:dyDescent="0.35">
      <c r="B3" s="81" t="s">
        <v>1</v>
      </c>
      <c r="C3" s="41" t="s">
        <v>7</v>
      </c>
      <c r="D3" s="41" t="s">
        <v>2</v>
      </c>
      <c r="E3" s="41" t="s">
        <v>3</v>
      </c>
      <c r="F3" s="41" t="s">
        <v>4</v>
      </c>
      <c r="G3" s="41" t="s">
        <v>24</v>
      </c>
      <c r="H3" s="41" t="s">
        <v>6</v>
      </c>
      <c r="I3" s="82" t="s">
        <v>25</v>
      </c>
    </row>
    <row r="4" spans="2:9" x14ac:dyDescent="0.35">
      <c r="B4" s="83"/>
      <c r="C4" s="12" t="s">
        <v>8</v>
      </c>
      <c r="D4" s="1"/>
      <c r="E4" s="1"/>
      <c r="F4" s="1"/>
      <c r="G4" s="1"/>
      <c r="H4" s="1"/>
      <c r="I4" s="84"/>
    </row>
    <row r="5" spans="2:9" x14ac:dyDescent="0.35">
      <c r="B5" s="85">
        <v>43466</v>
      </c>
      <c r="C5" s="1">
        <v>41868020</v>
      </c>
      <c r="D5" s="2">
        <v>43466</v>
      </c>
      <c r="E5" s="2">
        <v>43830</v>
      </c>
      <c r="F5" s="59">
        <v>365</v>
      </c>
      <c r="G5" s="4">
        <v>0.24</v>
      </c>
      <c r="H5" s="5">
        <f>C5*F5*G5/365</f>
        <v>10048324.800000001</v>
      </c>
      <c r="I5" s="86">
        <f>+C5+H5</f>
        <v>51916344.799999997</v>
      </c>
    </row>
    <row r="6" spans="2:9" x14ac:dyDescent="0.35">
      <c r="B6" s="87"/>
      <c r="C6" s="5">
        <f>+I5</f>
        <v>51916344.799999997</v>
      </c>
      <c r="D6" s="2">
        <v>43831</v>
      </c>
      <c r="E6" s="2">
        <v>44196</v>
      </c>
      <c r="F6" s="58">
        <f>+E6-D6</f>
        <v>365</v>
      </c>
      <c r="G6" s="4">
        <v>0.24</v>
      </c>
      <c r="H6" s="5">
        <f>I5*F6*G6/365</f>
        <v>12459922.751999998</v>
      </c>
      <c r="I6" s="88">
        <f>+I5+H6</f>
        <v>64376267.551999994</v>
      </c>
    </row>
    <row r="7" spans="2:9" x14ac:dyDescent="0.35">
      <c r="B7" s="87"/>
      <c r="C7" s="5">
        <f>+I6</f>
        <v>64376267.551999994</v>
      </c>
      <c r="D7" s="2">
        <v>44197</v>
      </c>
      <c r="E7" s="2">
        <v>44259</v>
      </c>
      <c r="F7" s="58">
        <f>+E7-D7</f>
        <v>62</v>
      </c>
      <c r="G7" s="4">
        <v>0.24</v>
      </c>
      <c r="H7" s="5">
        <f>I6*F7*G7/365</f>
        <v>2624435.2360924925</v>
      </c>
      <c r="I7" s="110">
        <f>+I6+H7</f>
        <v>67000702.788092487</v>
      </c>
    </row>
    <row r="8" spans="2:9" x14ac:dyDescent="0.35">
      <c r="B8" s="87"/>
      <c r="C8" s="5"/>
      <c r="D8" s="2"/>
      <c r="E8" s="2"/>
      <c r="F8" s="58"/>
      <c r="G8" s="4"/>
      <c r="H8" s="5"/>
      <c r="I8" s="88"/>
    </row>
    <row r="9" spans="2:9" x14ac:dyDescent="0.35">
      <c r="B9" s="87"/>
      <c r="C9" s="5"/>
      <c r="D9" s="2"/>
      <c r="E9" s="2"/>
      <c r="F9" s="56"/>
      <c r="G9" s="4"/>
      <c r="H9" s="8">
        <f>+SUM(H5:H7)</f>
        <v>25132682.788092494</v>
      </c>
      <c r="I9" s="86"/>
    </row>
    <row r="10" spans="2:9" x14ac:dyDescent="0.35">
      <c r="B10" s="87"/>
      <c r="C10" s="5"/>
      <c r="D10" s="2"/>
      <c r="E10" s="2"/>
      <c r="F10" s="3"/>
      <c r="G10" s="4"/>
      <c r="H10" s="8"/>
      <c r="I10" s="86"/>
    </row>
    <row r="11" spans="2:9" x14ac:dyDescent="0.35">
      <c r="B11" s="85"/>
      <c r="C11" s="514" t="s">
        <v>42</v>
      </c>
      <c r="D11" s="515"/>
      <c r="E11" s="515"/>
      <c r="F11" s="515"/>
      <c r="G11" s="516"/>
      <c r="H11" s="8">
        <f>+H9</f>
        <v>25132682.788092494</v>
      </c>
      <c r="I11" s="86"/>
    </row>
    <row r="12" spans="2:9" x14ac:dyDescent="0.35">
      <c r="B12" s="85"/>
      <c r="C12" s="514" t="s">
        <v>43</v>
      </c>
      <c r="D12" s="515"/>
      <c r="E12" s="515"/>
      <c r="F12" s="515"/>
      <c r="G12" s="516"/>
      <c r="H12" s="8">
        <f>+C5</f>
        <v>41868020</v>
      </c>
      <c r="I12" s="86"/>
    </row>
    <row r="13" spans="2:9" ht="15" thickBot="1" x14ac:dyDescent="0.4">
      <c r="B13" s="108"/>
      <c r="C13" s="517" t="s">
        <v>58</v>
      </c>
      <c r="D13" s="518"/>
      <c r="E13" s="518"/>
      <c r="F13" s="518"/>
      <c r="G13" s="519"/>
      <c r="H13" s="90">
        <f>SUM(H11:H12)</f>
        <v>67000702.788092494</v>
      </c>
      <c r="I13" s="109"/>
    </row>
    <row r="18" spans="2:9" ht="21" x14ac:dyDescent="0.5">
      <c r="B18" s="520" t="s">
        <v>21</v>
      </c>
      <c r="C18" s="521"/>
      <c r="D18" s="521"/>
      <c r="E18" s="521"/>
      <c r="F18" s="521"/>
      <c r="G18" s="521"/>
      <c r="H18" s="521"/>
      <c r="I18" s="522"/>
    </row>
    <row r="19" spans="2:9" ht="29" x14ac:dyDescent="0.35">
      <c r="B19" s="12" t="s">
        <v>1</v>
      </c>
      <c r="C19" s="12" t="s">
        <v>7</v>
      </c>
      <c r="D19" s="12" t="s">
        <v>2</v>
      </c>
      <c r="E19" s="12" t="s">
        <v>3</v>
      </c>
      <c r="F19" s="12" t="s">
        <v>4</v>
      </c>
      <c r="G19" s="12" t="s">
        <v>5</v>
      </c>
      <c r="H19" s="41" t="s">
        <v>6</v>
      </c>
      <c r="I19" s="12"/>
    </row>
    <row r="20" spans="2:9" x14ac:dyDescent="0.35">
      <c r="B20" s="17">
        <v>43539</v>
      </c>
      <c r="C20" s="1">
        <v>10000000</v>
      </c>
      <c r="D20" s="2">
        <f>+B20</f>
        <v>43539</v>
      </c>
      <c r="E20" s="2">
        <v>43904</v>
      </c>
      <c r="F20" s="3">
        <f>+E20-D20</f>
        <v>365</v>
      </c>
      <c r="G20" s="4">
        <v>0.24</v>
      </c>
      <c r="H20" s="5">
        <f>C20*F20*G20/365</f>
        <v>2400000</v>
      </c>
      <c r="I20" s="5">
        <f>+C20+H20</f>
        <v>12400000</v>
      </c>
    </row>
    <row r="21" spans="2:9" x14ac:dyDescent="0.35">
      <c r="B21" s="63"/>
      <c r="C21" s="5">
        <f>+I20</f>
        <v>12400000</v>
      </c>
      <c r="D21" s="2">
        <v>43905</v>
      </c>
      <c r="E21" s="2">
        <v>44259</v>
      </c>
      <c r="F21" s="3">
        <f t="shared" ref="F21" si="0">+E21-D21</f>
        <v>354</v>
      </c>
      <c r="G21" s="4">
        <v>0.24</v>
      </c>
      <c r="H21" s="5">
        <f t="shared" ref="H21" si="1">C21*F21*G21/365</f>
        <v>2886312.3287671232</v>
      </c>
      <c r="I21" s="5">
        <f t="shared" ref="I21" si="2">+C21+H21</f>
        <v>15286312.328767123</v>
      </c>
    </row>
    <row r="22" spans="2:9" x14ac:dyDescent="0.35">
      <c r="B22" s="63"/>
      <c r="C22" s="5"/>
      <c r="D22" s="2"/>
      <c r="E22" s="2"/>
      <c r="F22" s="3"/>
      <c r="G22" s="4"/>
      <c r="H22" s="5"/>
      <c r="I22" s="5"/>
    </row>
    <row r="23" spans="2:9" x14ac:dyDescent="0.35">
      <c r="B23" s="63"/>
      <c r="C23" s="1"/>
      <c r="D23" s="2"/>
      <c r="E23" s="2"/>
      <c r="F23" s="3"/>
      <c r="G23" s="4"/>
      <c r="H23" s="5"/>
      <c r="I23" s="5"/>
    </row>
    <row r="24" spans="2:9" x14ac:dyDescent="0.35">
      <c r="B24" s="17">
        <v>43586</v>
      </c>
      <c r="C24" s="5">
        <v>5000000</v>
      </c>
      <c r="D24" s="2">
        <v>43586</v>
      </c>
      <c r="E24" s="2">
        <v>43951</v>
      </c>
      <c r="F24" s="3">
        <f>+E24-D24</f>
        <v>365</v>
      </c>
      <c r="G24" s="4">
        <v>0.24</v>
      </c>
      <c r="H24" s="5">
        <f>C24*F24*G24/365</f>
        <v>1200000</v>
      </c>
      <c r="I24" s="5">
        <f>+C24+H24</f>
        <v>6200000</v>
      </c>
    </row>
    <row r="25" spans="2:9" x14ac:dyDescent="0.35">
      <c r="B25" s="17"/>
      <c r="C25" s="5">
        <f>+I24</f>
        <v>6200000</v>
      </c>
      <c r="D25" s="2">
        <v>43952</v>
      </c>
      <c r="E25" s="2">
        <v>44259</v>
      </c>
      <c r="F25" s="3">
        <f>+E25-D25</f>
        <v>307</v>
      </c>
      <c r="G25" s="4">
        <v>0.24</v>
      </c>
      <c r="H25" s="5">
        <f>C25*F25*G25/365</f>
        <v>1251550.6849315069</v>
      </c>
      <c r="I25" s="5">
        <f>+C25+H25</f>
        <v>7451550.6849315073</v>
      </c>
    </row>
    <row r="26" spans="2:9" x14ac:dyDescent="0.35">
      <c r="B26" s="17"/>
      <c r="C26" s="5"/>
      <c r="D26" s="2"/>
      <c r="E26" s="2"/>
      <c r="F26" s="3"/>
      <c r="G26" s="4"/>
      <c r="H26" s="5"/>
      <c r="I26" s="5"/>
    </row>
    <row r="27" spans="2:9" x14ac:dyDescent="0.35">
      <c r="B27" s="17"/>
      <c r="C27" s="5"/>
      <c r="D27" s="2"/>
      <c r="E27" s="2"/>
      <c r="F27" s="3"/>
      <c r="G27" s="4"/>
      <c r="H27" s="5"/>
      <c r="I27" s="5"/>
    </row>
    <row r="28" spans="2:9" x14ac:dyDescent="0.35">
      <c r="B28" s="17">
        <v>43598</v>
      </c>
      <c r="C28" s="5">
        <v>7500000</v>
      </c>
      <c r="D28" s="2">
        <f>+B28</f>
        <v>43598</v>
      </c>
      <c r="E28" s="2">
        <v>43963</v>
      </c>
      <c r="F28" s="3">
        <f>+E28-D28</f>
        <v>365</v>
      </c>
      <c r="G28" s="4">
        <v>0.24</v>
      </c>
      <c r="H28" s="5">
        <f>C28*F28*G28/365</f>
        <v>1800000</v>
      </c>
      <c r="I28" s="5">
        <f>+C28+H28</f>
        <v>9300000</v>
      </c>
    </row>
    <row r="29" spans="2:9" x14ac:dyDescent="0.35">
      <c r="B29" s="17"/>
      <c r="C29" s="5">
        <f>+I28</f>
        <v>9300000</v>
      </c>
      <c r="D29" s="2">
        <v>43964</v>
      </c>
      <c r="E29" s="2">
        <v>44259</v>
      </c>
      <c r="F29" s="3">
        <f>+E29-D29</f>
        <v>295</v>
      </c>
      <c r="G29" s="4">
        <v>0.24</v>
      </c>
      <c r="H29" s="5">
        <f>C29*F29*G29/365</f>
        <v>1803945.2054794522</v>
      </c>
      <c r="I29" s="5">
        <f>+C29+H29</f>
        <v>11103945.205479452</v>
      </c>
    </row>
    <row r="30" spans="2:9" x14ac:dyDescent="0.35">
      <c r="B30" s="17"/>
      <c r="C30" s="5"/>
      <c r="D30" s="2"/>
      <c r="E30" s="2"/>
      <c r="F30" s="3"/>
      <c r="G30" s="4"/>
      <c r="H30" s="5"/>
      <c r="I30" s="5"/>
    </row>
    <row r="31" spans="2:9" x14ac:dyDescent="0.35">
      <c r="B31" s="17">
        <v>43693</v>
      </c>
      <c r="C31" s="5">
        <v>4000000</v>
      </c>
      <c r="D31" s="17">
        <v>43693</v>
      </c>
      <c r="E31" s="2">
        <v>44058</v>
      </c>
      <c r="F31" s="3">
        <f>+E31-D31</f>
        <v>365</v>
      </c>
      <c r="G31" s="4">
        <v>0.24</v>
      </c>
      <c r="H31" s="5">
        <f>C31*F31*G31/365</f>
        <v>960000</v>
      </c>
      <c r="I31" s="5">
        <f>+C31+H31</f>
        <v>4960000</v>
      </c>
    </row>
    <row r="32" spans="2:9" x14ac:dyDescent="0.35">
      <c r="B32" s="17"/>
      <c r="C32" s="5">
        <f>+I31</f>
        <v>4960000</v>
      </c>
      <c r="D32" s="17">
        <v>44059</v>
      </c>
      <c r="E32" s="2">
        <v>44259</v>
      </c>
      <c r="F32" s="3">
        <f>+E32-D32</f>
        <v>200</v>
      </c>
      <c r="G32" s="4">
        <v>0.24</v>
      </c>
      <c r="H32" s="5">
        <f>C32*F32*G32/365</f>
        <v>652273.9726027397</v>
      </c>
      <c r="I32" s="5">
        <f>+C32+H32</f>
        <v>5612273.9726027399</v>
      </c>
    </row>
    <row r="33" spans="2:10" x14ac:dyDescent="0.35">
      <c r="B33" s="17"/>
      <c r="C33" s="5"/>
      <c r="D33" s="17"/>
      <c r="E33" s="2"/>
      <c r="F33" s="3"/>
      <c r="G33" s="4"/>
      <c r="H33" s="5"/>
      <c r="I33" s="5"/>
    </row>
    <row r="34" spans="2:10" x14ac:dyDescent="0.35">
      <c r="B34" s="17">
        <v>43745</v>
      </c>
      <c r="C34" s="5">
        <v>6000000</v>
      </c>
      <c r="D34" s="17">
        <v>43693</v>
      </c>
      <c r="E34" s="2">
        <v>44058</v>
      </c>
      <c r="F34" s="3">
        <f>+E34-D34</f>
        <v>365</v>
      </c>
      <c r="G34" s="4">
        <v>0.24</v>
      </c>
      <c r="H34" s="5">
        <f>C34*F34*G34/365</f>
        <v>1440000</v>
      </c>
      <c r="I34" s="5">
        <f>+C34+H34</f>
        <v>7440000</v>
      </c>
    </row>
    <row r="35" spans="2:10" x14ac:dyDescent="0.35">
      <c r="B35" s="17"/>
      <c r="C35" s="5">
        <f>+I34</f>
        <v>7440000</v>
      </c>
      <c r="D35" s="17">
        <v>44059</v>
      </c>
      <c r="E35" s="2">
        <v>44259</v>
      </c>
      <c r="F35" s="3">
        <f>+E35-D35</f>
        <v>200</v>
      </c>
      <c r="G35" s="4">
        <v>0.24</v>
      </c>
      <c r="H35" s="5">
        <f>C35*F35*G35/365</f>
        <v>978410.95890410955</v>
      </c>
      <c r="I35" s="5">
        <f>+C35+H35</f>
        <v>8418410.9589041099</v>
      </c>
    </row>
    <row r="36" spans="2:10" x14ac:dyDescent="0.35">
      <c r="B36" s="17"/>
      <c r="C36" s="5"/>
      <c r="D36" s="17"/>
      <c r="E36" s="2"/>
      <c r="F36" s="3"/>
      <c r="G36" s="4"/>
      <c r="H36" s="5"/>
      <c r="I36" s="5"/>
    </row>
    <row r="37" spans="2:10" x14ac:dyDescent="0.35">
      <c r="B37" s="17">
        <v>43921</v>
      </c>
      <c r="C37" s="5">
        <v>2500000</v>
      </c>
      <c r="D37" s="17">
        <v>43921</v>
      </c>
      <c r="E37" s="2">
        <v>44259</v>
      </c>
      <c r="F37" s="3">
        <f>+E37-D37</f>
        <v>338</v>
      </c>
      <c r="G37" s="4">
        <v>0.24</v>
      </c>
      <c r="H37" s="5">
        <f>C37*F37*G37/365</f>
        <v>555616.43835616438</v>
      </c>
      <c r="I37" s="5">
        <f>+C37+H37</f>
        <v>3055616.4383561644</v>
      </c>
    </row>
    <row r="38" spans="2:10" x14ac:dyDescent="0.35">
      <c r="B38" s="17">
        <v>44218</v>
      </c>
      <c r="C38" s="5">
        <v>2500000</v>
      </c>
      <c r="D38" s="17">
        <v>44218</v>
      </c>
      <c r="E38" s="2">
        <v>44259</v>
      </c>
      <c r="F38" s="3">
        <f>+E38-D38</f>
        <v>41</v>
      </c>
      <c r="G38" s="4">
        <v>0.24</v>
      </c>
      <c r="H38" s="5">
        <f>C38*F38*G38/365</f>
        <v>67397.260273972599</v>
      </c>
      <c r="I38" s="5">
        <f>+C38+H38</f>
        <v>2567397.2602739725</v>
      </c>
    </row>
    <row r="39" spans="2:10" x14ac:dyDescent="0.35">
      <c r="B39" s="17"/>
      <c r="C39" s="1"/>
      <c r="D39" s="2"/>
      <c r="E39" s="2"/>
      <c r="F39" s="3"/>
      <c r="G39" s="4"/>
      <c r="H39" s="5"/>
      <c r="I39" s="5"/>
    </row>
    <row r="40" spans="2:10" x14ac:dyDescent="0.35">
      <c r="B40" s="15"/>
      <c r="C40" s="8"/>
      <c r="D40" s="528" t="s">
        <v>11</v>
      </c>
      <c r="E40" s="529"/>
      <c r="F40" s="529"/>
      <c r="G40" s="530"/>
      <c r="H40" s="55">
        <f>+SUM(H20:H39)</f>
        <v>15995506.84931507</v>
      </c>
      <c r="I40" s="8">
        <f>+SUM(I39:I39)</f>
        <v>0</v>
      </c>
    </row>
    <row r="41" spans="2:10" ht="15" thickBot="1" x14ac:dyDescent="0.4"/>
    <row r="42" spans="2:10" ht="15" thickBot="1" x14ac:dyDescent="0.4">
      <c r="B42" s="113"/>
      <c r="C42" s="112"/>
      <c r="D42" s="112"/>
      <c r="E42" s="112" t="s">
        <v>122</v>
      </c>
      <c r="F42" s="112"/>
      <c r="G42" s="112"/>
      <c r="H42" s="114">
        <f>+H11-H40</f>
        <v>9137175.9387774244</v>
      </c>
      <c r="I42" s="115"/>
    </row>
    <row r="48" spans="2:10" ht="19" thickBot="1" x14ac:dyDescent="0.5">
      <c r="B48" s="523" t="s">
        <v>377</v>
      </c>
      <c r="C48" s="523"/>
      <c r="D48" s="523"/>
      <c r="E48" s="523"/>
      <c r="F48" s="523"/>
      <c r="G48" s="523"/>
      <c r="H48" s="523"/>
      <c r="I48" s="523"/>
      <c r="J48" s="523"/>
    </row>
    <row r="49" spans="2:10" s="10" customFormat="1" ht="29.5" thickBot="1" x14ac:dyDescent="0.4">
      <c r="B49" s="301" t="s">
        <v>1</v>
      </c>
      <c r="C49" s="302" t="s">
        <v>156</v>
      </c>
      <c r="D49" s="302" t="s">
        <v>7</v>
      </c>
      <c r="E49" s="302" t="s">
        <v>2</v>
      </c>
      <c r="F49" s="302" t="s">
        <v>3</v>
      </c>
      <c r="G49" s="302" t="s">
        <v>4</v>
      </c>
      <c r="H49" s="302" t="s">
        <v>367</v>
      </c>
      <c r="I49" s="302" t="s">
        <v>6</v>
      </c>
      <c r="J49" s="303" t="s">
        <v>174</v>
      </c>
    </row>
    <row r="50" spans="2:10" s="9" customFormat="1" x14ac:dyDescent="0.35">
      <c r="B50" s="497">
        <v>46035</v>
      </c>
      <c r="C50" s="498" t="s">
        <v>157</v>
      </c>
      <c r="D50" s="499">
        <v>2500000</v>
      </c>
      <c r="E50" s="498">
        <v>46035</v>
      </c>
      <c r="F50" s="498">
        <v>46112</v>
      </c>
      <c r="G50" s="500">
        <f>+F50-E50</f>
        <v>77</v>
      </c>
      <c r="H50" s="501">
        <v>0.14499999999999999</v>
      </c>
      <c r="I50" s="499">
        <f>D50*G50*H50/365</f>
        <v>76472.602739726019</v>
      </c>
      <c r="J50" s="502">
        <f>+D50+I50</f>
        <v>2576472.6027397262</v>
      </c>
    </row>
    <row r="51" spans="2:10" x14ac:dyDescent="0.35">
      <c r="B51" s="473">
        <v>46035</v>
      </c>
      <c r="C51" s="474" t="s">
        <v>157</v>
      </c>
      <c r="D51" s="496">
        <v>2400000</v>
      </c>
      <c r="E51" s="474">
        <v>46035</v>
      </c>
      <c r="F51" s="474">
        <v>46112</v>
      </c>
      <c r="G51" s="475">
        <f>+F51-E51</f>
        <v>77</v>
      </c>
      <c r="H51" s="476">
        <v>0.14499999999999999</v>
      </c>
      <c r="I51" s="477">
        <f>D51*G51*H51/365</f>
        <v>73413.698630136991</v>
      </c>
      <c r="J51" s="478">
        <f>+D51+I51</f>
        <v>2473413.6986301369</v>
      </c>
    </row>
    <row r="52" spans="2:10" s="9" customFormat="1" x14ac:dyDescent="0.35">
      <c r="B52" s="473">
        <v>46070</v>
      </c>
      <c r="C52" s="474" t="s">
        <v>158</v>
      </c>
      <c r="D52" s="477">
        <v>3000000</v>
      </c>
      <c r="E52" s="474">
        <v>46070</v>
      </c>
      <c r="F52" s="474">
        <v>46106</v>
      </c>
      <c r="G52" s="475">
        <f>+F52-E52</f>
        <v>36</v>
      </c>
      <c r="H52" s="476">
        <v>0.24</v>
      </c>
      <c r="I52" s="477">
        <f>D52*G52*H52/365</f>
        <v>71013.698630136991</v>
      </c>
      <c r="J52" s="478">
        <f>+D52+I52</f>
        <v>3071013.6986301369</v>
      </c>
    </row>
    <row r="53" spans="2:10" x14ac:dyDescent="0.35">
      <c r="B53" s="83"/>
      <c r="C53" s="15"/>
      <c r="D53" s="15"/>
      <c r="E53" s="15"/>
      <c r="F53" s="15"/>
      <c r="G53" s="15"/>
      <c r="H53" s="15"/>
      <c r="I53" s="15"/>
      <c r="J53" s="224"/>
    </row>
    <row r="54" spans="2:10" x14ac:dyDescent="0.35">
      <c r="B54" s="83"/>
      <c r="C54" s="15"/>
      <c r="D54" s="15"/>
      <c r="E54" s="15"/>
      <c r="F54" s="15"/>
      <c r="G54" s="15"/>
      <c r="H54" s="15"/>
      <c r="I54" s="15"/>
      <c r="J54" s="224"/>
    </row>
    <row r="55" spans="2:10" ht="15" thickBot="1" x14ac:dyDescent="0.4">
      <c r="B55" s="108"/>
      <c r="C55" s="448"/>
      <c r="D55" s="448"/>
      <c r="E55" s="448"/>
      <c r="F55" s="448"/>
      <c r="G55" s="233"/>
      <c r="H55" s="233"/>
      <c r="I55" s="233"/>
      <c r="J55" s="319"/>
    </row>
    <row r="56" spans="2:10" ht="15" thickBot="1" x14ac:dyDescent="0.4">
      <c r="B56" s="467"/>
      <c r="C56" s="470"/>
      <c r="D56" s="471">
        <f>SUM(D50:D55)</f>
        <v>7900000</v>
      </c>
      <c r="E56" s="472"/>
      <c r="F56" s="469"/>
      <c r="G56" s="524" t="s">
        <v>204</v>
      </c>
      <c r="H56" s="525"/>
      <c r="I56" s="330">
        <f>SUM(I50:I55)</f>
        <v>220900</v>
      </c>
      <c r="J56" s="468"/>
    </row>
    <row r="57" spans="2:10" ht="15" thickBot="1" x14ac:dyDescent="0.4">
      <c r="B57" s="9" t="s">
        <v>371</v>
      </c>
      <c r="C57" s="309" t="s">
        <v>368</v>
      </c>
      <c r="D57" s="320">
        <v>3000000</v>
      </c>
      <c r="E57" s="321" t="s">
        <v>167</v>
      </c>
      <c r="G57" s="526" t="s">
        <v>351</v>
      </c>
      <c r="H57" s="527"/>
      <c r="I57" s="506">
        <f>D62</f>
        <v>-221000</v>
      </c>
    </row>
    <row r="58" spans="2:10" ht="15" thickBot="1" x14ac:dyDescent="0.4">
      <c r="C58" s="83" t="s">
        <v>369</v>
      </c>
      <c r="D58" s="15">
        <v>2500000</v>
      </c>
      <c r="E58" s="224" t="s">
        <v>167</v>
      </c>
      <c r="G58" s="524" t="s">
        <v>370</v>
      </c>
      <c r="H58" s="525"/>
      <c r="I58" s="509">
        <f>I56+I57</f>
        <v>-100</v>
      </c>
    </row>
    <row r="59" spans="2:10" x14ac:dyDescent="0.35">
      <c r="C59" s="179" t="s">
        <v>375</v>
      </c>
      <c r="D59" s="233">
        <v>4900000</v>
      </c>
      <c r="E59" s="329" t="s">
        <v>157</v>
      </c>
      <c r="G59" s="48"/>
      <c r="H59" s="48"/>
    </row>
    <row r="60" spans="2:10" x14ac:dyDescent="0.35">
      <c r="C60" s="179" t="s">
        <v>378</v>
      </c>
      <c r="D60" s="233">
        <v>-2279000</v>
      </c>
      <c r="E60" s="329" t="s">
        <v>167</v>
      </c>
      <c r="G60" s="48"/>
      <c r="H60" s="48"/>
    </row>
    <row r="61" spans="2:10" ht="15" thickBot="1" x14ac:dyDescent="0.4">
      <c r="C61" s="179"/>
      <c r="D61" s="233"/>
      <c r="E61" s="329"/>
    </row>
    <row r="62" spans="2:10" ht="15" thickBot="1" x14ac:dyDescent="0.4">
      <c r="C62" s="234" t="s">
        <v>33</v>
      </c>
      <c r="D62" s="225">
        <f>D56-D57-D58-D59-D60</f>
        <v>-221000</v>
      </c>
      <c r="E62" s="124"/>
    </row>
    <row r="74" spans="2:10" ht="15" thickBot="1" x14ac:dyDescent="0.4">
      <c r="B74" s="510" t="s">
        <v>372</v>
      </c>
      <c r="C74" s="510"/>
      <c r="D74" s="510"/>
      <c r="E74" s="510"/>
      <c r="F74" s="510"/>
      <c r="G74" s="510"/>
      <c r="H74" s="510"/>
      <c r="I74" s="510"/>
      <c r="J74" s="510"/>
    </row>
    <row r="75" spans="2:10" ht="29.5" thickBot="1" x14ac:dyDescent="0.4">
      <c r="B75" s="306" t="s">
        <v>1</v>
      </c>
      <c r="C75" s="307" t="s">
        <v>156</v>
      </c>
      <c r="D75" s="307" t="s">
        <v>7</v>
      </c>
      <c r="E75" s="307" t="s">
        <v>2</v>
      </c>
      <c r="F75" s="307" t="s">
        <v>3</v>
      </c>
      <c r="G75" s="307" t="s">
        <v>4</v>
      </c>
      <c r="H75" s="307" t="s">
        <v>367</v>
      </c>
      <c r="I75" s="307" t="s">
        <v>6</v>
      </c>
      <c r="J75" s="308" t="s">
        <v>174</v>
      </c>
    </row>
    <row r="76" spans="2:10" x14ac:dyDescent="0.35">
      <c r="B76" s="479">
        <v>46022</v>
      </c>
      <c r="C76" s="480" t="s">
        <v>157</v>
      </c>
      <c r="D76" s="482">
        <v>5000000</v>
      </c>
      <c r="E76" s="480">
        <v>46022</v>
      </c>
      <c r="F76" s="480">
        <v>46112</v>
      </c>
      <c r="G76" s="486">
        <f>+F76-E76</f>
        <v>90</v>
      </c>
      <c r="H76" s="481">
        <v>0.18</v>
      </c>
      <c r="I76" s="482">
        <f>D76*G76*H76/365</f>
        <v>221917.80821917808</v>
      </c>
      <c r="J76" s="483">
        <f>+D76+I76</f>
        <v>5221917.8082191776</v>
      </c>
    </row>
    <row r="77" spans="2:10" ht="15" thickBot="1" x14ac:dyDescent="0.4">
      <c r="B77" s="237"/>
      <c r="C77" s="174"/>
      <c r="D77" s="174"/>
      <c r="E77" s="174"/>
      <c r="F77" s="174"/>
      <c r="G77" s="174"/>
      <c r="H77" s="174"/>
      <c r="I77" s="174"/>
      <c r="J77" s="129"/>
    </row>
    <row r="78" spans="2:10" ht="16" thickBot="1" x14ac:dyDescent="0.4">
      <c r="B78" s="484"/>
      <c r="C78" s="485"/>
      <c r="D78" s="485"/>
      <c r="E78" s="485"/>
      <c r="F78" s="485"/>
      <c r="G78" s="485"/>
      <c r="H78" s="485"/>
      <c r="I78" s="443">
        <f>I76</f>
        <v>221917.80821917808</v>
      </c>
      <c r="J78" s="401"/>
    </row>
    <row r="83" spans="2:10" ht="15" thickBot="1" x14ac:dyDescent="0.4">
      <c r="B83" s="510" t="s">
        <v>372</v>
      </c>
      <c r="C83" s="510"/>
      <c r="D83" s="510"/>
      <c r="E83" s="510"/>
      <c r="F83" s="510"/>
      <c r="G83" s="510"/>
      <c r="H83" s="510"/>
      <c r="I83" s="510"/>
      <c r="J83" s="510"/>
    </row>
    <row r="84" spans="2:10" ht="29.5" thickBot="1" x14ac:dyDescent="0.4">
      <c r="B84" s="306" t="s">
        <v>1</v>
      </c>
      <c r="C84" s="307" t="s">
        <v>156</v>
      </c>
      <c r="D84" s="307" t="s">
        <v>7</v>
      </c>
      <c r="E84" s="307" t="s">
        <v>2</v>
      </c>
      <c r="F84" s="307" t="s">
        <v>3</v>
      </c>
      <c r="G84" s="307" t="s">
        <v>4</v>
      </c>
      <c r="H84" s="307" t="s">
        <v>367</v>
      </c>
      <c r="I84" s="307" t="s">
        <v>6</v>
      </c>
      <c r="J84" s="308" t="s">
        <v>174</v>
      </c>
    </row>
    <row r="85" spans="2:10" x14ac:dyDescent="0.35">
      <c r="B85" s="503">
        <v>45637</v>
      </c>
      <c r="C85" s="489" t="s">
        <v>157</v>
      </c>
      <c r="D85" s="490">
        <v>2500000</v>
      </c>
      <c r="E85" s="489">
        <v>45637</v>
      </c>
      <c r="F85" s="489">
        <v>46002</v>
      </c>
      <c r="G85" s="491">
        <f>+F85-E85</f>
        <v>365</v>
      </c>
      <c r="H85" s="492">
        <v>0.18</v>
      </c>
      <c r="I85" s="490">
        <f>D85*G85*H85/365</f>
        <v>450000</v>
      </c>
      <c r="J85" s="493">
        <f>+D85+I85</f>
        <v>2950000</v>
      </c>
    </row>
    <row r="86" spans="2:10" x14ac:dyDescent="0.35">
      <c r="B86" s="473"/>
      <c r="C86" s="474"/>
      <c r="D86" s="477"/>
      <c r="E86" s="17">
        <f>F85</f>
        <v>46002</v>
      </c>
      <c r="F86" s="17">
        <v>46116</v>
      </c>
      <c r="G86" s="3">
        <f>+F86-E86</f>
        <v>114</v>
      </c>
      <c r="H86" s="476">
        <v>0.18</v>
      </c>
      <c r="I86" s="54">
        <f>J85*G86*H86/365</f>
        <v>165846.57534246575</v>
      </c>
      <c r="J86" s="86">
        <f>J85+I86</f>
        <v>3115846.5753424657</v>
      </c>
    </row>
    <row r="87" spans="2:10" ht="15" thickBot="1" x14ac:dyDescent="0.4">
      <c r="B87" s="172"/>
      <c r="C87" s="173"/>
      <c r="D87" s="173"/>
      <c r="E87" s="173"/>
      <c r="F87" s="174"/>
      <c r="G87" s="174"/>
      <c r="H87" s="174"/>
      <c r="I87" s="233"/>
      <c r="J87" s="109"/>
    </row>
    <row r="88" spans="2:10" ht="16" thickBot="1" x14ac:dyDescent="0.4">
      <c r="B88" s="484"/>
      <c r="C88" s="485"/>
      <c r="D88" s="485"/>
      <c r="E88" s="504"/>
      <c r="F88" s="537" t="s">
        <v>6</v>
      </c>
      <c r="G88" s="538"/>
      <c r="H88" s="538"/>
      <c r="I88" s="332">
        <f>SUM(I85:I87)</f>
        <v>615846.57534246577</v>
      </c>
      <c r="J88" s="505"/>
    </row>
    <row r="89" spans="2:10" ht="15" thickBot="1" x14ac:dyDescent="0.4">
      <c r="F89" s="533" t="s">
        <v>373</v>
      </c>
      <c r="G89" s="534"/>
      <c r="H89" s="534"/>
      <c r="I89" s="506">
        <f>D85</f>
        <v>2500000</v>
      </c>
    </row>
    <row r="90" spans="2:10" ht="16" thickBot="1" x14ac:dyDescent="0.4">
      <c r="F90" s="535" t="s">
        <v>374</v>
      </c>
      <c r="G90" s="536"/>
      <c r="H90" s="536"/>
      <c r="I90" s="332">
        <f>I88+I89</f>
        <v>3115846.5753424657</v>
      </c>
    </row>
    <row r="95" spans="2:10" ht="15" thickBot="1" x14ac:dyDescent="0.4">
      <c r="B95" s="510" t="s">
        <v>376</v>
      </c>
      <c r="C95" s="510"/>
      <c r="D95" s="510"/>
      <c r="E95" s="510"/>
      <c r="F95" s="510"/>
      <c r="G95" s="510"/>
      <c r="H95" s="510"/>
      <c r="I95" s="510"/>
      <c r="J95" s="510"/>
    </row>
    <row r="96" spans="2:10" ht="29" x14ac:dyDescent="0.35">
      <c r="B96" s="306" t="s">
        <v>1</v>
      </c>
      <c r="C96" s="307" t="s">
        <v>156</v>
      </c>
      <c r="D96" s="307" t="s">
        <v>7</v>
      </c>
      <c r="E96" s="307" t="s">
        <v>2</v>
      </c>
      <c r="F96" s="307" t="s">
        <v>3</v>
      </c>
      <c r="G96" s="307" t="s">
        <v>4</v>
      </c>
      <c r="H96" s="307" t="s">
        <v>367</v>
      </c>
      <c r="I96" s="307" t="s">
        <v>6</v>
      </c>
      <c r="J96" s="308" t="s">
        <v>174</v>
      </c>
    </row>
    <row r="97" spans="2:10" x14ac:dyDescent="0.35">
      <c r="B97" s="508">
        <v>45173</v>
      </c>
      <c r="C97" s="474" t="s">
        <v>158</v>
      </c>
      <c r="D97" s="477">
        <v>2500000</v>
      </c>
      <c r="E97" s="474">
        <v>45173</v>
      </c>
      <c r="F97" s="474">
        <v>45538</v>
      </c>
      <c r="G97" s="475">
        <f>+F97-E97</f>
        <v>365</v>
      </c>
      <c r="H97" s="476">
        <v>0.18</v>
      </c>
      <c r="I97" s="477">
        <f>D97*G97*H97/365</f>
        <v>450000</v>
      </c>
      <c r="J97" s="478">
        <f>+D97+I97</f>
        <v>2950000</v>
      </c>
    </row>
    <row r="98" spans="2:10" x14ac:dyDescent="0.35">
      <c r="B98" s="473"/>
      <c r="C98" s="474"/>
      <c r="D98" s="477"/>
      <c r="E98" s="17">
        <f>F97</f>
        <v>45538</v>
      </c>
      <c r="F98" s="474">
        <v>45903</v>
      </c>
      <c r="G98" s="16">
        <f>+F98-E98</f>
        <v>365</v>
      </c>
      <c r="H98" s="476">
        <v>0.18</v>
      </c>
      <c r="I98" s="54">
        <f>J97*G98*H98/365</f>
        <v>531000</v>
      </c>
      <c r="J98" s="222">
        <f>J97+I98</f>
        <v>3481000</v>
      </c>
    </row>
    <row r="99" spans="2:10" x14ac:dyDescent="0.35">
      <c r="B99" s="473"/>
      <c r="C99" s="474"/>
      <c r="D99" s="477"/>
      <c r="E99" s="17">
        <f>F98</f>
        <v>45903</v>
      </c>
      <c r="F99" s="474">
        <v>46116</v>
      </c>
      <c r="G99" s="16">
        <f>+F99-E99</f>
        <v>213</v>
      </c>
      <c r="H99" s="476">
        <v>0.18</v>
      </c>
      <c r="I99" s="54">
        <f>J98*G99*H99/365</f>
        <v>365648.05479452055</v>
      </c>
      <c r="J99" s="222">
        <f>J98+I99</f>
        <v>3846648.0547945206</v>
      </c>
    </row>
    <row r="100" spans="2:10" ht="15" thickBot="1" x14ac:dyDescent="0.4">
      <c r="B100" s="108"/>
      <c r="C100" s="448"/>
      <c r="D100" s="448"/>
      <c r="E100" s="448"/>
      <c r="F100" s="448"/>
      <c r="G100" s="448"/>
      <c r="H100" s="448"/>
      <c r="I100" s="448"/>
      <c r="J100" s="319"/>
    </row>
    <row r="101" spans="2:10" ht="16" thickBot="1" x14ac:dyDescent="0.4">
      <c r="B101" s="487"/>
      <c r="C101" s="488"/>
      <c r="D101" s="488"/>
      <c r="E101" s="494"/>
      <c r="F101" s="531" t="s">
        <v>6</v>
      </c>
      <c r="G101" s="532"/>
      <c r="H101" s="532"/>
      <c r="I101" s="507">
        <f>SUM(I97:I100)</f>
        <v>1346648.0547945206</v>
      </c>
      <c r="J101" s="495"/>
    </row>
    <row r="102" spans="2:10" ht="15" thickBot="1" x14ac:dyDescent="0.4">
      <c r="F102" s="533" t="s">
        <v>373</v>
      </c>
      <c r="G102" s="534"/>
      <c r="H102" s="534"/>
      <c r="I102" s="506">
        <f>D97</f>
        <v>2500000</v>
      </c>
    </row>
    <row r="103" spans="2:10" ht="16" thickBot="1" x14ac:dyDescent="0.4">
      <c r="F103" s="535" t="s">
        <v>374</v>
      </c>
      <c r="G103" s="536"/>
      <c r="H103" s="536"/>
      <c r="I103" s="332">
        <f>I101+I102</f>
        <v>3846648.0547945206</v>
      </c>
    </row>
  </sheetData>
  <mergeCells count="19">
    <mergeCell ref="F101:H101"/>
    <mergeCell ref="F102:H102"/>
    <mergeCell ref="F103:H103"/>
    <mergeCell ref="B83:J83"/>
    <mergeCell ref="F88:H88"/>
    <mergeCell ref="F89:H89"/>
    <mergeCell ref="F90:H90"/>
    <mergeCell ref="B95:J95"/>
    <mergeCell ref="B74:J74"/>
    <mergeCell ref="B1:I1"/>
    <mergeCell ref="C11:G11"/>
    <mergeCell ref="C12:G12"/>
    <mergeCell ref="C13:G13"/>
    <mergeCell ref="B18:I18"/>
    <mergeCell ref="B48:J48"/>
    <mergeCell ref="G56:H56"/>
    <mergeCell ref="G57:H57"/>
    <mergeCell ref="G58:H58"/>
    <mergeCell ref="D40:G4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69"/>
  <sheetViews>
    <sheetView view="pageBreakPreview" topLeftCell="A67" zoomScaleNormal="100" zoomScaleSheetLayoutView="100" workbookViewId="0">
      <selection activeCell="K55" sqref="K55"/>
    </sheetView>
  </sheetViews>
  <sheetFormatPr defaultRowHeight="14.5" x14ac:dyDescent="0.35"/>
  <cols>
    <col min="1" max="1" width="16.08984375" customWidth="1"/>
    <col min="2" max="2" width="13.6328125" customWidth="1"/>
    <col min="3" max="3" width="10.90625" customWidth="1"/>
    <col min="4" max="4" width="10.6328125" customWidth="1"/>
    <col min="5" max="5" width="11" style="6" customWidth="1"/>
    <col min="6" max="6" width="9.6328125" customWidth="1"/>
    <col min="8" max="8" width="11.36328125" bestFit="1" customWidth="1"/>
  </cols>
  <sheetData>
    <row r="1" spans="1:13" ht="18" x14ac:dyDescent="0.35">
      <c r="A1" s="511" t="s">
        <v>140</v>
      </c>
      <c r="B1" s="512"/>
      <c r="C1" s="512"/>
      <c r="D1" s="512"/>
      <c r="E1" s="512"/>
      <c r="F1" s="512"/>
      <c r="G1" s="512"/>
      <c r="H1" s="513"/>
    </row>
    <row r="2" spans="1:13" ht="15" thickBot="1" x14ac:dyDescent="0.35">
      <c r="A2" s="607" t="s">
        <v>142</v>
      </c>
      <c r="B2" s="548"/>
      <c r="C2" s="548"/>
      <c r="D2" s="548"/>
      <c r="E2" s="548"/>
      <c r="F2" s="548"/>
      <c r="G2" s="548"/>
      <c r="H2" s="608"/>
    </row>
    <row r="3" spans="1:13" ht="28.75" x14ac:dyDescent="0.3">
      <c r="A3" s="132" t="s">
        <v>1</v>
      </c>
      <c r="B3" s="133" t="s">
        <v>7</v>
      </c>
      <c r="C3" s="133" t="s">
        <v>2</v>
      </c>
      <c r="D3" s="133" t="s">
        <v>3</v>
      </c>
      <c r="E3" s="133" t="s">
        <v>4</v>
      </c>
      <c r="F3" s="133" t="s">
        <v>24</v>
      </c>
      <c r="G3" s="133" t="s">
        <v>6</v>
      </c>
      <c r="H3" s="134" t="s">
        <v>25</v>
      </c>
    </row>
    <row r="4" spans="1:13" ht="14.4" x14ac:dyDescent="0.3">
      <c r="A4" s="83"/>
      <c r="B4" s="12" t="s">
        <v>153</v>
      </c>
      <c r="C4" s="1"/>
      <c r="D4" s="1"/>
      <c r="E4" s="15"/>
      <c r="F4" s="1"/>
      <c r="G4" s="1"/>
      <c r="H4" s="84"/>
    </row>
    <row r="5" spans="1:13" ht="14.4" x14ac:dyDescent="0.3">
      <c r="A5" s="85">
        <v>43071</v>
      </c>
      <c r="B5" s="135">
        <v>400000</v>
      </c>
      <c r="C5" s="2">
        <v>43071</v>
      </c>
      <c r="D5" s="2">
        <v>43190</v>
      </c>
      <c r="E5" s="56">
        <f>+D5-C5</f>
        <v>119</v>
      </c>
      <c r="F5" s="4">
        <v>0.18</v>
      </c>
      <c r="G5" s="5">
        <f>+B5*E5*F5/365</f>
        <v>23473.972602739726</v>
      </c>
      <c r="H5" s="86">
        <f>+B5+G5</f>
        <v>423473.9726027397</v>
      </c>
    </row>
    <row r="6" spans="1:13" ht="14.4" x14ac:dyDescent="0.3">
      <c r="A6" s="85">
        <v>43074</v>
      </c>
      <c r="B6" s="136">
        <v>300000</v>
      </c>
      <c r="C6" s="17">
        <v>43074</v>
      </c>
      <c r="D6" s="2">
        <v>43190</v>
      </c>
      <c r="E6" s="56">
        <f t="shared" ref="E6:E11" si="0">+D6-C6</f>
        <v>116</v>
      </c>
      <c r="F6" s="4">
        <v>0.18</v>
      </c>
      <c r="G6" s="5">
        <f t="shared" ref="G6:G11" si="1">+B6*E6*F6/365</f>
        <v>17161.64383561644</v>
      </c>
      <c r="H6" s="86">
        <f t="shared" ref="H6:H24" si="2">+B6+G6</f>
        <v>317161.64383561641</v>
      </c>
    </row>
    <row r="7" spans="1:13" ht="14.4" x14ac:dyDescent="0.3">
      <c r="A7" s="85">
        <v>43077</v>
      </c>
      <c r="B7" s="136">
        <v>100000</v>
      </c>
      <c r="C7" s="17">
        <v>43077</v>
      </c>
      <c r="D7" s="2">
        <v>43190</v>
      </c>
      <c r="E7" s="56">
        <f t="shared" si="0"/>
        <v>113</v>
      </c>
      <c r="F7" s="4">
        <v>0.18</v>
      </c>
      <c r="G7" s="5">
        <f t="shared" si="1"/>
        <v>5572.6027397260277</v>
      </c>
      <c r="H7" s="86">
        <f t="shared" si="2"/>
        <v>105572.60273972603</v>
      </c>
    </row>
    <row r="8" spans="1:13" ht="14.4" x14ac:dyDescent="0.3">
      <c r="A8" s="85">
        <v>43083</v>
      </c>
      <c r="B8" s="136">
        <v>200000</v>
      </c>
      <c r="C8" s="17">
        <v>43083</v>
      </c>
      <c r="D8" s="2">
        <v>43190</v>
      </c>
      <c r="E8" s="56">
        <f t="shared" si="0"/>
        <v>107</v>
      </c>
      <c r="F8" s="4">
        <v>0.18</v>
      </c>
      <c r="G8" s="5">
        <f t="shared" si="1"/>
        <v>10553.424657534246</v>
      </c>
      <c r="H8" s="86">
        <f t="shared" si="2"/>
        <v>210553.42465753425</v>
      </c>
    </row>
    <row r="9" spans="1:13" ht="14.4" x14ac:dyDescent="0.3">
      <c r="A9" s="85">
        <v>43114</v>
      </c>
      <c r="B9" s="136">
        <v>100000</v>
      </c>
      <c r="C9" s="17">
        <v>43114</v>
      </c>
      <c r="D9" s="2">
        <v>43190</v>
      </c>
      <c r="E9" s="56">
        <f t="shared" si="0"/>
        <v>76</v>
      </c>
      <c r="F9" s="4">
        <v>0.18</v>
      </c>
      <c r="G9" s="5">
        <f t="shared" si="1"/>
        <v>3747.9452054794519</v>
      </c>
      <c r="H9" s="86">
        <f t="shared" si="2"/>
        <v>103747.94520547945</v>
      </c>
    </row>
    <row r="10" spans="1:13" ht="14.4" x14ac:dyDescent="0.3">
      <c r="A10" s="85">
        <v>43127</v>
      </c>
      <c r="B10" s="136">
        <v>100000</v>
      </c>
      <c r="C10" s="17">
        <v>43127</v>
      </c>
      <c r="D10" s="2">
        <v>43190</v>
      </c>
      <c r="E10" s="56">
        <f t="shared" si="0"/>
        <v>63</v>
      </c>
      <c r="F10" s="4">
        <v>0.18</v>
      </c>
      <c r="G10" s="5">
        <f t="shared" si="1"/>
        <v>3106.8493150684931</v>
      </c>
      <c r="H10" s="86">
        <f t="shared" si="2"/>
        <v>103106.8493150685</v>
      </c>
    </row>
    <row r="11" spans="1:13" ht="14.4" x14ac:dyDescent="0.3">
      <c r="A11" s="85">
        <v>43147</v>
      </c>
      <c r="B11" s="136">
        <v>400000</v>
      </c>
      <c r="C11" s="17">
        <v>43147</v>
      </c>
      <c r="D11" s="2">
        <v>43190</v>
      </c>
      <c r="E11" s="56">
        <f t="shared" si="0"/>
        <v>43</v>
      </c>
      <c r="F11" s="4">
        <v>0.18</v>
      </c>
      <c r="G11" s="5">
        <f t="shared" si="1"/>
        <v>8482.1917808219187</v>
      </c>
      <c r="H11" s="86">
        <f>+B11+G11</f>
        <v>408482.19178082194</v>
      </c>
    </row>
    <row r="12" spans="1:13" ht="15" thickBot="1" x14ac:dyDescent="0.35">
      <c r="A12" s="119"/>
      <c r="B12" s="120"/>
      <c r="C12" s="140"/>
      <c r="D12" s="141"/>
      <c r="E12" s="142"/>
      <c r="F12" s="143"/>
      <c r="G12" s="144"/>
      <c r="H12" s="121"/>
    </row>
    <row r="13" spans="1:13" s="137" customFormat="1" ht="18.75" customHeight="1" thickBot="1" x14ac:dyDescent="0.4">
      <c r="A13" s="152" t="s">
        <v>154</v>
      </c>
      <c r="B13" s="153">
        <f>SUM(B5:B12)</f>
        <v>1600000</v>
      </c>
      <c r="C13" s="154"/>
      <c r="D13" s="155"/>
      <c r="E13" s="156"/>
      <c r="F13" s="157"/>
      <c r="G13" s="153">
        <f>SUM(G5:G12)</f>
        <v>72098.630136986307</v>
      </c>
      <c r="H13" s="158">
        <f>SUM(H5:H12)</f>
        <v>1672098.6301369863</v>
      </c>
    </row>
    <row r="14" spans="1:13" ht="14.25" customHeight="1" x14ac:dyDescent="0.35">
      <c r="A14" s="145"/>
      <c r="B14" s="146"/>
      <c r="C14" s="147"/>
      <c r="D14" s="148"/>
      <c r="E14" s="149"/>
      <c r="F14" s="150"/>
      <c r="G14" s="146"/>
      <c r="H14" s="151"/>
    </row>
    <row r="15" spans="1:13" s="9" customFormat="1" x14ac:dyDescent="0.35">
      <c r="A15" s="126">
        <v>43190</v>
      </c>
      <c r="B15" s="136">
        <f>+SUM(H5:H11)</f>
        <v>1672098.6301369863</v>
      </c>
      <c r="C15" s="63">
        <v>43191</v>
      </c>
      <c r="D15" s="64">
        <v>43555</v>
      </c>
      <c r="E15" s="138">
        <v>365</v>
      </c>
      <c r="F15" s="127">
        <v>0.18</v>
      </c>
      <c r="G15" s="8">
        <f>+B15*E15*F15/365</f>
        <v>300977.75342465751</v>
      </c>
      <c r="H15" s="88">
        <f t="shared" ref="H15" si="3">+B15+G15</f>
        <v>1973076.3835616438</v>
      </c>
      <c r="L15" s="9">
        <f>SUM(B5:B11)</f>
        <v>1600000</v>
      </c>
      <c r="M15" s="11">
        <f>SUM(G5:G11)</f>
        <v>72098.630136986307</v>
      </c>
    </row>
    <row r="16" spans="1:13" x14ac:dyDescent="0.35">
      <c r="A16" s="85"/>
      <c r="B16" s="5">
        <f>+H15</f>
        <v>1973076.3835616438</v>
      </c>
      <c r="C16" s="17">
        <v>43556</v>
      </c>
      <c r="D16" s="2">
        <v>43921</v>
      </c>
      <c r="E16" s="139">
        <v>365</v>
      </c>
      <c r="F16" s="4">
        <v>0.18</v>
      </c>
      <c r="G16" s="5">
        <f t="shared" ref="G16:G18" si="4">+B16*E16*F16/365</f>
        <v>355153.74904109584</v>
      </c>
      <c r="H16" s="86">
        <f t="shared" ref="H16:H17" si="5">+B16+G16</f>
        <v>2328230.1326027396</v>
      </c>
      <c r="L16">
        <f>SUM(B34:B35)</f>
        <v>600000</v>
      </c>
      <c r="M16" s="14">
        <f>SUM(G34:G35)</f>
        <v>22290.410958904111</v>
      </c>
    </row>
    <row r="17" spans="1:14" x14ac:dyDescent="0.35">
      <c r="A17" s="85"/>
      <c r="B17" s="5">
        <f>+H16</f>
        <v>2328230.1326027396</v>
      </c>
      <c r="C17" s="17">
        <v>43922</v>
      </c>
      <c r="D17" s="2">
        <v>44286</v>
      </c>
      <c r="E17" s="139">
        <v>365</v>
      </c>
      <c r="F17" s="4">
        <v>0.18</v>
      </c>
      <c r="G17" s="5">
        <f t="shared" si="4"/>
        <v>419081.42386849312</v>
      </c>
      <c r="H17" s="86">
        <f t="shared" si="5"/>
        <v>2747311.5564712328</v>
      </c>
      <c r="L17">
        <f>L15-L16</f>
        <v>1000000</v>
      </c>
      <c r="M17" s="14">
        <f>M15-M16</f>
        <v>49808.219178082196</v>
      </c>
      <c r="N17">
        <f>SUM(L17:M17)</f>
        <v>1049808.2191780822</v>
      </c>
    </row>
    <row r="18" spans="1:14" x14ac:dyDescent="0.35">
      <c r="A18" s="85"/>
      <c r="B18" s="5">
        <f>+H17</f>
        <v>2747311.5564712328</v>
      </c>
      <c r="C18" s="17">
        <v>44287</v>
      </c>
      <c r="D18" s="2">
        <v>44377</v>
      </c>
      <c r="E18" s="56">
        <f>+D18-C18</f>
        <v>90</v>
      </c>
      <c r="F18" s="4">
        <v>0.18</v>
      </c>
      <c r="G18" s="5">
        <f t="shared" si="4"/>
        <v>121935.47182146294</v>
      </c>
      <c r="H18" s="110">
        <f>+B18+G18</f>
        <v>2869247.0282926955</v>
      </c>
    </row>
    <row r="19" spans="1:14" x14ac:dyDescent="0.35">
      <c r="A19" s="85"/>
      <c r="B19" s="5"/>
      <c r="C19" s="17"/>
      <c r="D19" s="2"/>
      <c r="E19" s="56"/>
      <c r="F19" s="4"/>
      <c r="G19" s="5"/>
      <c r="H19" s="86"/>
    </row>
    <row r="20" spans="1:14" x14ac:dyDescent="0.35">
      <c r="A20" s="85">
        <v>43328</v>
      </c>
      <c r="B20" s="136">
        <v>200000</v>
      </c>
      <c r="C20" s="17">
        <v>43328</v>
      </c>
      <c r="D20" s="2">
        <v>43692</v>
      </c>
      <c r="E20" s="56">
        <v>365</v>
      </c>
      <c r="F20" s="4">
        <v>0.18</v>
      </c>
      <c r="G20" s="5">
        <f>+B20*F20*E20/365</f>
        <v>36000</v>
      </c>
      <c r="H20" s="86">
        <f t="shared" si="2"/>
        <v>236000</v>
      </c>
    </row>
    <row r="21" spans="1:14" x14ac:dyDescent="0.35">
      <c r="A21" s="85"/>
      <c r="B21" s="5">
        <f>+H20</f>
        <v>236000</v>
      </c>
      <c r="C21" s="17">
        <v>43693</v>
      </c>
      <c r="D21" s="2">
        <v>44058</v>
      </c>
      <c r="E21" s="56">
        <v>365</v>
      </c>
      <c r="F21" s="4">
        <v>0.18</v>
      </c>
      <c r="G21" s="5">
        <f t="shared" ref="G21:G22" si="6">+B21*F21*E21/365</f>
        <v>42480</v>
      </c>
      <c r="H21" s="86">
        <f t="shared" ref="H21" si="7">+B21+G21</f>
        <v>278480</v>
      </c>
    </row>
    <row r="22" spans="1:14" x14ac:dyDescent="0.35">
      <c r="A22" s="85"/>
      <c r="B22" s="5">
        <f>+H21</f>
        <v>278480</v>
      </c>
      <c r="C22" s="17">
        <v>44059</v>
      </c>
      <c r="D22" s="2">
        <v>44377</v>
      </c>
      <c r="E22" s="56">
        <f>+D22-C22</f>
        <v>318</v>
      </c>
      <c r="F22" s="4">
        <v>0.18</v>
      </c>
      <c r="G22" s="5">
        <f t="shared" si="6"/>
        <v>43671.767671232883</v>
      </c>
      <c r="H22" s="110">
        <f>+B22+G22</f>
        <v>322151.76767123287</v>
      </c>
    </row>
    <row r="23" spans="1:14" x14ac:dyDescent="0.35">
      <c r="A23" s="85"/>
      <c r="B23" s="5"/>
      <c r="C23" s="17"/>
      <c r="D23" s="2"/>
      <c r="E23" s="56"/>
      <c r="F23" s="4"/>
      <c r="G23" s="5"/>
      <c r="H23" s="86"/>
    </row>
    <row r="24" spans="1:14" x14ac:dyDescent="0.35">
      <c r="A24" s="85">
        <v>43811</v>
      </c>
      <c r="B24" s="136">
        <v>100000</v>
      </c>
      <c r="C24" s="17">
        <v>43811</v>
      </c>
      <c r="D24" s="2">
        <v>44176</v>
      </c>
      <c r="E24" s="56">
        <v>365</v>
      </c>
      <c r="F24" s="4">
        <v>0.18</v>
      </c>
      <c r="G24" s="5">
        <f>+B24*F24*E24/365</f>
        <v>18000</v>
      </c>
      <c r="H24" s="86">
        <f t="shared" si="2"/>
        <v>118000</v>
      </c>
    </row>
    <row r="25" spans="1:14" x14ac:dyDescent="0.35">
      <c r="A25" s="85"/>
      <c r="B25" s="5">
        <f>+H24</f>
        <v>118000</v>
      </c>
      <c r="C25" s="17">
        <v>44177</v>
      </c>
      <c r="D25" s="2">
        <v>44377</v>
      </c>
      <c r="E25" s="56">
        <f>+D25-C25</f>
        <v>200</v>
      </c>
      <c r="F25" s="4">
        <v>0.18</v>
      </c>
      <c r="G25" s="5">
        <f>+B25*F25*E25/365</f>
        <v>11638.356164383562</v>
      </c>
      <c r="H25" s="110">
        <f t="shared" ref="H25" si="8">+B25+G25</f>
        <v>129638.35616438356</v>
      </c>
    </row>
    <row r="26" spans="1:14" x14ac:dyDescent="0.35">
      <c r="A26" s="87"/>
      <c r="B26" s="5"/>
      <c r="C26" s="2"/>
      <c r="D26" s="2"/>
      <c r="E26" s="16"/>
      <c r="F26" s="4"/>
      <c r="G26" s="8"/>
      <c r="H26" s="86"/>
    </row>
    <row r="27" spans="1:14" x14ac:dyDescent="0.35">
      <c r="A27" s="85"/>
      <c r="B27" s="566" t="s">
        <v>126</v>
      </c>
      <c r="C27" s="566"/>
      <c r="D27" s="566"/>
      <c r="E27" s="566"/>
      <c r="F27" s="566"/>
      <c r="G27" s="8">
        <f>+SUM(G13:G25)</f>
        <v>1421037.152128312</v>
      </c>
      <c r="H27" s="86"/>
    </row>
    <row r="28" spans="1:14" x14ac:dyDescent="0.35">
      <c r="A28" s="85"/>
      <c r="B28" s="566" t="s">
        <v>43</v>
      </c>
      <c r="C28" s="566"/>
      <c r="D28" s="566"/>
      <c r="E28" s="566"/>
      <c r="F28" s="566"/>
      <c r="G28" s="8">
        <f>+B24+B20+B5+B6+B7+B8+B9+B10+B11</f>
        <v>1900000</v>
      </c>
      <c r="H28" s="86"/>
    </row>
    <row r="29" spans="1:14" s="9" customFormat="1" ht="15" thickBot="1" x14ac:dyDescent="0.4">
      <c r="A29" s="89"/>
      <c r="B29" s="555" t="s">
        <v>58</v>
      </c>
      <c r="C29" s="555"/>
      <c r="D29" s="555"/>
      <c r="E29" s="555"/>
      <c r="F29" s="555"/>
      <c r="G29" s="90">
        <f>SUM(G27:G28)</f>
        <v>3321037.1521283118</v>
      </c>
      <c r="H29" s="91"/>
    </row>
    <row r="31" spans="1:14" x14ac:dyDescent="0.35">
      <c r="A31" s="644" t="s">
        <v>141</v>
      </c>
      <c r="B31" s="644"/>
      <c r="C31" s="644"/>
      <c r="D31" s="644"/>
      <c r="E31" s="644"/>
      <c r="F31" s="644"/>
      <c r="G31" s="644"/>
      <c r="H31" s="644"/>
    </row>
    <row r="32" spans="1:14" ht="29" x14ac:dyDescent="0.35">
      <c r="A32" s="81" t="s">
        <v>1</v>
      </c>
      <c r="B32" s="41" t="s">
        <v>7</v>
      </c>
      <c r="C32" s="41" t="s">
        <v>2</v>
      </c>
      <c r="D32" s="41" t="s">
        <v>3</v>
      </c>
      <c r="E32" s="41" t="s">
        <v>4</v>
      </c>
      <c r="F32" s="41" t="s">
        <v>24</v>
      </c>
      <c r="G32" s="41" t="s">
        <v>6</v>
      </c>
      <c r="H32" s="82" t="s">
        <v>25</v>
      </c>
    </row>
    <row r="33" spans="1:8" x14ac:dyDescent="0.35">
      <c r="A33" s="83"/>
      <c r="B33" s="12" t="s">
        <v>139</v>
      </c>
      <c r="C33" s="1"/>
      <c r="D33" s="1"/>
      <c r="E33" s="15"/>
      <c r="F33" s="1"/>
      <c r="G33" s="1"/>
      <c r="H33" s="84"/>
    </row>
    <row r="34" spans="1:8" x14ac:dyDescent="0.35">
      <c r="A34" s="85">
        <v>43110</v>
      </c>
      <c r="B34" s="135">
        <v>500000</v>
      </c>
      <c r="C34" s="2">
        <v>43110</v>
      </c>
      <c r="D34" s="2">
        <v>43190</v>
      </c>
      <c r="E34" s="56">
        <f>+D34-C34</f>
        <v>80</v>
      </c>
      <c r="F34" s="4">
        <v>0.18</v>
      </c>
      <c r="G34" s="5">
        <f>B34*E34*F34/365</f>
        <v>19726.027397260274</v>
      </c>
      <c r="H34" s="86">
        <f>+B34+G34</f>
        <v>519726.0273972603</v>
      </c>
    </row>
    <row r="35" spans="1:8" x14ac:dyDescent="0.35">
      <c r="A35" s="85">
        <v>43138</v>
      </c>
      <c r="B35" s="136">
        <v>100000</v>
      </c>
      <c r="C35" s="2">
        <v>43138</v>
      </c>
      <c r="D35" s="2">
        <v>43190</v>
      </c>
      <c r="E35" s="56">
        <f>+D35-C35</f>
        <v>52</v>
      </c>
      <c r="F35" s="4">
        <v>0.18</v>
      </c>
      <c r="G35" s="5">
        <f>+B35*E35*F35/365</f>
        <v>2564.3835616438355</v>
      </c>
      <c r="H35" s="86">
        <f t="shared" ref="H35" si="9">+B35+G35</f>
        <v>102564.38356164383</v>
      </c>
    </row>
    <row r="36" spans="1:8" ht="15" thickBot="1" x14ac:dyDescent="0.4">
      <c r="A36" s="85"/>
      <c r="B36" s="5"/>
      <c r="C36" s="2"/>
      <c r="D36" s="2"/>
      <c r="E36" s="56"/>
      <c r="F36" s="4"/>
      <c r="G36" s="5"/>
      <c r="H36" s="86"/>
    </row>
    <row r="37" spans="1:8" s="137" customFormat="1" ht="18.75" customHeight="1" thickBot="1" x14ac:dyDescent="0.4">
      <c r="A37" s="152" t="s">
        <v>154</v>
      </c>
      <c r="B37" s="153">
        <f>+B34+B35</f>
        <v>600000</v>
      </c>
      <c r="C37" s="154"/>
      <c r="D37" s="155"/>
      <c r="E37" s="156"/>
      <c r="F37" s="157"/>
      <c r="G37" s="153">
        <f>SUM(G34:G36)</f>
        <v>22290.410958904111</v>
      </c>
      <c r="H37" s="158">
        <f>+H34+H35</f>
        <v>622290.41095890407</v>
      </c>
    </row>
    <row r="38" spans="1:8" s="137" customFormat="1" ht="18.75" customHeight="1" x14ac:dyDescent="0.35">
      <c r="A38" s="159"/>
      <c r="B38" s="160"/>
      <c r="C38" s="161"/>
      <c r="D38" s="162"/>
      <c r="E38" s="163"/>
      <c r="F38" s="164"/>
      <c r="G38" s="160"/>
      <c r="H38" s="165"/>
    </row>
    <row r="39" spans="1:8" x14ac:dyDescent="0.35">
      <c r="A39" s="85">
        <v>43191</v>
      </c>
      <c r="B39" s="8">
        <f>+H35+H34</f>
        <v>622290.41095890407</v>
      </c>
      <c r="C39" s="2">
        <v>43191</v>
      </c>
      <c r="D39" s="2">
        <v>43555</v>
      </c>
      <c r="E39" s="56">
        <v>365</v>
      </c>
      <c r="F39" s="4">
        <v>0.18</v>
      </c>
      <c r="G39" s="5">
        <f>+B39*E39*F39/365</f>
        <v>112012.27397260274</v>
      </c>
      <c r="H39" s="86">
        <f>+B39+G39</f>
        <v>734302.68493150687</v>
      </c>
    </row>
    <row r="40" spans="1:8" x14ac:dyDescent="0.35">
      <c r="A40" s="85"/>
      <c r="B40" s="5">
        <f>+H39</f>
        <v>734302.68493150687</v>
      </c>
      <c r="C40" s="2">
        <v>43556</v>
      </c>
      <c r="D40" s="2">
        <v>43921</v>
      </c>
      <c r="E40" s="56">
        <v>365</v>
      </c>
      <c r="F40" s="4">
        <v>0.18</v>
      </c>
      <c r="G40" s="5">
        <f t="shared" ref="G40:G42" si="10">+B40*E40*F40/365</f>
        <v>132174.48328767123</v>
      </c>
      <c r="H40" s="86">
        <f>+B40+G40</f>
        <v>866477.1682191781</v>
      </c>
    </row>
    <row r="41" spans="1:8" x14ac:dyDescent="0.35">
      <c r="A41" s="85"/>
      <c r="B41" s="5">
        <f t="shared" ref="B41:B42" si="11">+H40</f>
        <v>866477.1682191781</v>
      </c>
      <c r="C41" s="2">
        <v>43922</v>
      </c>
      <c r="D41" s="2">
        <v>44286</v>
      </c>
      <c r="E41" s="56">
        <v>365</v>
      </c>
      <c r="F41" s="4">
        <v>0.18</v>
      </c>
      <c r="G41" s="5">
        <f t="shared" si="10"/>
        <v>155965.89027945208</v>
      </c>
      <c r="H41" s="86">
        <f>+B41+G41</f>
        <v>1022443.0584986302</v>
      </c>
    </row>
    <row r="42" spans="1:8" x14ac:dyDescent="0.35">
      <c r="A42" s="85"/>
      <c r="B42" s="5">
        <f t="shared" si="11"/>
        <v>1022443.0584986302</v>
      </c>
      <c r="C42" s="2">
        <v>44287</v>
      </c>
      <c r="D42" s="2">
        <v>44377</v>
      </c>
      <c r="E42" s="56">
        <f>+D42-C42</f>
        <v>90</v>
      </c>
      <c r="F42" s="4">
        <v>0.18</v>
      </c>
      <c r="G42" s="5">
        <f t="shared" si="10"/>
        <v>45379.664514185781</v>
      </c>
      <c r="H42" s="110">
        <f>+B42+G42</f>
        <v>1067822.7230128159</v>
      </c>
    </row>
    <row r="43" spans="1:8" x14ac:dyDescent="0.35">
      <c r="A43" s="85"/>
      <c r="B43" s="5"/>
      <c r="C43" s="2"/>
      <c r="D43" s="2"/>
      <c r="E43" s="56"/>
      <c r="F43" s="4"/>
      <c r="G43" s="5"/>
      <c r="H43" s="86"/>
    </row>
    <row r="44" spans="1:8" x14ac:dyDescent="0.35">
      <c r="A44" s="85">
        <v>43193</v>
      </c>
      <c r="B44" s="136">
        <v>300000</v>
      </c>
      <c r="C44" s="2">
        <v>43193</v>
      </c>
      <c r="D44" s="2">
        <v>43557</v>
      </c>
      <c r="E44" s="56">
        <v>365</v>
      </c>
      <c r="F44" s="4">
        <v>0.18</v>
      </c>
      <c r="G44" s="5">
        <f t="shared" ref="G44" si="12">+B44*E44*F44/365</f>
        <v>54000</v>
      </c>
      <c r="H44" s="86">
        <f>+B44+G44</f>
        <v>354000</v>
      </c>
    </row>
    <row r="45" spans="1:8" x14ac:dyDescent="0.35">
      <c r="A45" s="85"/>
      <c r="B45" s="5">
        <f>+H44</f>
        <v>354000</v>
      </c>
      <c r="C45" s="2">
        <v>43558</v>
      </c>
      <c r="D45" s="2">
        <v>43923</v>
      </c>
      <c r="E45" s="56">
        <v>365</v>
      </c>
      <c r="F45" s="4">
        <v>0.18</v>
      </c>
      <c r="G45" s="5">
        <f t="shared" ref="G45:G47" si="13">+B45*E45*F45/365</f>
        <v>63720</v>
      </c>
      <c r="H45" s="86">
        <f t="shared" ref="H45:H46" si="14">+B45+G45</f>
        <v>417720</v>
      </c>
    </row>
    <row r="46" spans="1:8" x14ac:dyDescent="0.35">
      <c r="A46" s="85"/>
      <c r="B46" s="5">
        <f t="shared" ref="B46:B47" si="15">+H45</f>
        <v>417720</v>
      </c>
      <c r="C46" s="2">
        <v>43924</v>
      </c>
      <c r="D46" s="2">
        <v>44288</v>
      </c>
      <c r="E46" s="56">
        <v>365</v>
      </c>
      <c r="F46" s="4">
        <v>0.18</v>
      </c>
      <c r="G46" s="5">
        <f t="shared" si="13"/>
        <v>75189.600000000006</v>
      </c>
      <c r="H46" s="86">
        <f t="shared" si="14"/>
        <v>492909.6</v>
      </c>
    </row>
    <row r="47" spans="1:8" x14ac:dyDescent="0.35">
      <c r="A47" s="85"/>
      <c r="B47" s="5">
        <f t="shared" si="15"/>
        <v>492909.6</v>
      </c>
      <c r="C47" s="2">
        <v>44289</v>
      </c>
      <c r="D47" s="2">
        <v>44377</v>
      </c>
      <c r="E47" s="56">
        <f>+D47-C47</f>
        <v>88</v>
      </c>
      <c r="F47" s="4">
        <v>0.18</v>
      </c>
      <c r="G47" s="5">
        <f t="shared" si="13"/>
        <v>21390.926202739724</v>
      </c>
      <c r="H47" s="110">
        <f>+B47+G47</f>
        <v>514300.52620273968</v>
      </c>
    </row>
    <row r="48" spans="1:8" x14ac:dyDescent="0.35">
      <c r="A48" s="85"/>
      <c r="B48" s="5"/>
      <c r="C48" s="2"/>
      <c r="D48" s="2"/>
      <c r="E48" s="56"/>
      <c r="F48" s="4"/>
      <c r="G48" s="5"/>
      <c r="H48" s="86"/>
    </row>
    <row r="49" spans="1:8" x14ac:dyDescent="0.35">
      <c r="A49" s="85">
        <v>43686</v>
      </c>
      <c r="B49" s="136">
        <v>400000</v>
      </c>
      <c r="C49" s="2">
        <v>43686</v>
      </c>
      <c r="D49" s="2">
        <v>44051</v>
      </c>
      <c r="E49" s="56">
        <f t="shared" ref="E49:E50" si="16">+D49-C49</f>
        <v>365</v>
      </c>
      <c r="F49" s="4">
        <v>0.18</v>
      </c>
      <c r="G49" s="5">
        <f t="shared" ref="G49:G50" si="17">+B49*E49*F49/365</f>
        <v>72000</v>
      </c>
      <c r="H49" s="86">
        <f t="shared" ref="H49" si="18">+B49+G49</f>
        <v>472000</v>
      </c>
    </row>
    <row r="50" spans="1:8" x14ac:dyDescent="0.35">
      <c r="A50" s="85"/>
      <c r="B50" s="5">
        <f>+H49</f>
        <v>472000</v>
      </c>
      <c r="C50" s="2">
        <v>44052</v>
      </c>
      <c r="D50" s="2">
        <v>44377</v>
      </c>
      <c r="E50" s="56">
        <f t="shared" si="16"/>
        <v>325</v>
      </c>
      <c r="F50" s="4">
        <v>0.18</v>
      </c>
      <c r="G50" s="5">
        <f t="shared" si="17"/>
        <v>75649.315068493146</v>
      </c>
      <c r="H50" s="110">
        <f>+B50+G50</f>
        <v>547649.31506849313</v>
      </c>
    </row>
    <row r="51" spans="1:8" x14ac:dyDescent="0.35">
      <c r="A51" s="85"/>
      <c r="B51" s="5"/>
      <c r="C51" s="2"/>
      <c r="D51" s="2"/>
      <c r="E51" s="56"/>
      <c r="F51" s="4"/>
      <c r="G51" s="5"/>
      <c r="H51" s="86"/>
    </row>
    <row r="52" spans="1:8" x14ac:dyDescent="0.35">
      <c r="A52" s="85"/>
      <c r="B52" s="514" t="s">
        <v>143</v>
      </c>
      <c r="C52" s="515"/>
      <c r="D52" s="515"/>
      <c r="E52" s="515"/>
      <c r="F52" s="516"/>
      <c r="G52" s="8">
        <f>+SUM(G37:G50)</f>
        <v>829772.56428404874</v>
      </c>
      <c r="H52" s="86"/>
    </row>
    <row r="53" spans="1:8" x14ac:dyDescent="0.35">
      <c r="A53" s="85"/>
      <c r="B53" s="514" t="s">
        <v>144</v>
      </c>
      <c r="C53" s="515"/>
      <c r="D53" s="515"/>
      <c r="E53" s="515"/>
      <c r="F53" s="516"/>
      <c r="G53" s="8">
        <f>+B34+B35+B44+B49</f>
        <v>1300000</v>
      </c>
      <c r="H53" s="86"/>
    </row>
    <row r="54" spans="1:8" ht="15" thickBot="1" x14ac:dyDescent="0.4">
      <c r="A54" s="108"/>
      <c r="B54" s="517" t="s">
        <v>155</v>
      </c>
      <c r="C54" s="518"/>
      <c r="D54" s="518"/>
      <c r="E54" s="518"/>
      <c r="F54" s="519"/>
      <c r="G54" s="90">
        <f>SUM(G52:G53)</f>
        <v>2129772.564284049</v>
      </c>
      <c r="H54" s="109"/>
    </row>
    <row r="55" spans="1:8" ht="15" thickBot="1" x14ac:dyDescent="0.4"/>
    <row r="56" spans="1:8" x14ac:dyDescent="0.35">
      <c r="A56" s="719" t="s">
        <v>145</v>
      </c>
      <c r="B56" s="720"/>
      <c r="C56" s="720"/>
      <c r="D56" s="720"/>
      <c r="E56" s="720"/>
      <c r="F56" s="720"/>
      <c r="G56" s="720"/>
      <c r="H56" s="128">
        <f>+B5+B6+B7+B8+B9+B10+B11+B20+B24</f>
        <v>1900000</v>
      </c>
    </row>
    <row r="57" spans="1:8" x14ac:dyDescent="0.35">
      <c r="A57" s="711" t="s">
        <v>146</v>
      </c>
      <c r="B57" s="547"/>
      <c r="C57" s="547"/>
      <c r="D57" s="547"/>
      <c r="E57" s="547"/>
      <c r="F57" s="547"/>
      <c r="G57" s="547"/>
      <c r="H57" s="86">
        <f>+G27</f>
        <v>1421037.152128312</v>
      </c>
    </row>
    <row r="58" spans="1:8" ht="15" thickBot="1" x14ac:dyDescent="0.4">
      <c r="A58" s="712"/>
      <c r="B58" s="545"/>
      <c r="C58" s="545"/>
      <c r="D58" s="545"/>
      <c r="E58" s="545"/>
      <c r="F58" s="545"/>
      <c r="G58" s="545"/>
      <c r="H58" s="129"/>
    </row>
    <row r="59" spans="1:8" s="9" customFormat="1" ht="15" thickBot="1" x14ac:dyDescent="0.4">
      <c r="A59" s="524" t="s">
        <v>147</v>
      </c>
      <c r="B59" s="525"/>
      <c r="C59" s="525"/>
      <c r="D59" s="525"/>
      <c r="E59" s="525"/>
      <c r="F59" s="525"/>
      <c r="G59" s="525"/>
      <c r="H59" s="131">
        <f>SUM(H56:H58)</f>
        <v>3321037.1521283118</v>
      </c>
    </row>
    <row r="60" spans="1:8" x14ac:dyDescent="0.35">
      <c r="A60" s="713"/>
      <c r="B60" s="546"/>
      <c r="C60" s="546"/>
      <c r="D60" s="546"/>
      <c r="E60" s="546"/>
      <c r="F60" s="546"/>
      <c r="G60" s="546"/>
      <c r="H60" s="130"/>
    </row>
    <row r="61" spans="1:8" x14ac:dyDescent="0.35">
      <c r="A61" s="711" t="s">
        <v>123</v>
      </c>
      <c r="B61" s="547"/>
      <c r="C61" s="547"/>
      <c r="D61" s="547"/>
      <c r="E61" s="547"/>
      <c r="F61" s="547"/>
      <c r="G61" s="547"/>
      <c r="H61" s="86">
        <f>+B34+B35+B44+B49</f>
        <v>1300000</v>
      </c>
    </row>
    <row r="62" spans="1:8" x14ac:dyDescent="0.35">
      <c r="A62" s="711" t="s">
        <v>148</v>
      </c>
      <c r="B62" s="547"/>
      <c r="C62" s="547"/>
      <c r="D62" s="547"/>
      <c r="E62" s="547"/>
      <c r="F62" s="547"/>
      <c r="G62" s="547"/>
      <c r="H62" s="86">
        <f>+G52</f>
        <v>829772.56428404874</v>
      </c>
    </row>
    <row r="63" spans="1:8" ht="15" thickBot="1" x14ac:dyDescent="0.4">
      <c r="A63" s="712"/>
      <c r="B63" s="545"/>
      <c r="C63" s="545"/>
      <c r="D63" s="545"/>
      <c r="E63" s="545"/>
      <c r="F63" s="545"/>
      <c r="G63" s="545"/>
      <c r="H63" s="121"/>
    </row>
    <row r="64" spans="1:8" s="9" customFormat="1" ht="15" customHeight="1" thickBot="1" x14ac:dyDescent="0.4">
      <c r="A64" s="524" t="s">
        <v>147</v>
      </c>
      <c r="B64" s="525"/>
      <c r="C64" s="525"/>
      <c r="D64" s="525"/>
      <c r="E64" s="525"/>
      <c r="F64" s="525"/>
      <c r="G64" s="525"/>
      <c r="H64" s="131">
        <f>+H61+H62</f>
        <v>2129772.564284049</v>
      </c>
    </row>
    <row r="65" spans="1:8" x14ac:dyDescent="0.35">
      <c r="A65" s="713"/>
      <c r="B65" s="546"/>
      <c r="C65" s="546"/>
      <c r="D65" s="546"/>
      <c r="E65" s="546"/>
      <c r="F65" s="546"/>
      <c r="G65" s="546"/>
      <c r="H65" s="130"/>
    </row>
    <row r="66" spans="1:8" x14ac:dyDescent="0.35">
      <c r="A66" s="711" t="s">
        <v>149</v>
      </c>
      <c r="B66" s="547"/>
      <c r="C66" s="547"/>
      <c r="D66" s="547"/>
      <c r="E66" s="547"/>
      <c r="F66" s="547"/>
      <c r="G66" s="547"/>
      <c r="H66" s="86">
        <f>+H56-H61</f>
        <v>600000</v>
      </c>
    </row>
    <row r="67" spans="1:8" x14ac:dyDescent="0.35">
      <c r="A67" s="711" t="s">
        <v>150</v>
      </c>
      <c r="B67" s="547"/>
      <c r="C67" s="547"/>
      <c r="D67" s="547"/>
      <c r="E67" s="547"/>
      <c r="F67" s="547"/>
      <c r="G67" s="547"/>
      <c r="H67" s="86">
        <f>+H57-H62</f>
        <v>591264.5878442633</v>
      </c>
    </row>
    <row r="68" spans="1:8" ht="15" thickBot="1" x14ac:dyDescent="0.4">
      <c r="A68" s="717"/>
      <c r="B68" s="718"/>
      <c r="C68" s="718"/>
      <c r="D68" s="718"/>
      <c r="E68" s="718"/>
      <c r="F68" s="718"/>
      <c r="G68" s="718"/>
      <c r="H68" s="109"/>
    </row>
    <row r="69" spans="1:8" s="9" customFormat="1" ht="19" thickBot="1" x14ac:dyDescent="0.5">
      <c r="A69" s="714" t="s">
        <v>151</v>
      </c>
      <c r="B69" s="715"/>
      <c r="C69" s="715"/>
      <c r="D69" s="715"/>
      <c r="E69" s="715"/>
      <c r="F69" s="715"/>
      <c r="G69" s="716"/>
      <c r="H69" s="166">
        <f>+H66+H67</f>
        <v>1191264.5878442633</v>
      </c>
    </row>
  </sheetData>
  <mergeCells count="23">
    <mergeCell ref="A1:H1"/>
    <mergeCell ref="A2:H2"/>
    <mergeCell ref="B54:F54"/>
    <mergeCell ref="B27:F27"/>
    <mergeCell ref="B28:F28"/>
    <mergeCell ref="B29:F29"/>
    <mergeCell ref="B52:F52"/>
    <mergeCell ref="B53:F53"/>
    <mergeCell ref="A31:H31"/>
    <mergeCell ref="A61:G61"/>
    <mergeCell ref="A56:G56"/>
    <mergeCell ref="A57:G57"/>
    <mergeCell ref="A58:G58"/>
    <mergeCell ref="A59:G59"/>
    <mergeCell ref="A60:G60"/>
    <mergeCell ref="A62:G62"/>
    <mergeCell ref="A63:G63"/>
    <mergeCell ref="A64:G64"/>
    <mergeCell ref="A65:G65"/>
    <mergeCell ref="A69:G69"/>
    <mergeCell ref="A66:G66"/>
    <mergeCell ref="A67:G67"/>
    <mergeCell ref="A68:G68"/>
  </mergeCells>
  <printOptions horizontalCentered="1"/>
  <pageMargins left="0.7" right="0.7" top="0" bottom="0" header="0.3" footer="0.3"/>
  <pageSetup paperSize="9" scale="79" orientation="portrait" r:id="rId1"/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I68"/>
  <sheetViews>
    <sheetView topLeftCell="A68" workbookViewId="0">
      <selection activeCell="M48" sqref="M48"/>
    </sheetView>
  </sheetViews>
  <sheetFormatPr defaultRowHeight="14.5" x14ac:dyDescent="0.35"/>
  <cols>
    <col min="2" max="2" width="10.54296875" bestFit="1" customWidth="1"/>
    <col min="3" max="3" width="9.6328125" bestFit="1" customWidth="1"/>
    <col min="4" max="5" width="10.54296875" bestFit="1" customWidth="1"/>
    <col min="6" max="6" width="7.08984375" bestFit="1" customWidth="1"/>
    <col min="7" max="7" width="10.1796875" customWidth="1"/>
    <col min="8" max="8" width="10.36328125" bestFit="1" customWidth="1"/>
    <col min="9" max="9" width="10.6328125" customWidth="1"/>
  </cols>
  <sheetData>
    <row r="2" spans="2:9" ht="15" thickBot="1" x14ac:dyDescent="0.35"/>
    <row r="3" spans="2:9" ht="18" x14ac:dyDescent="0.35">
      <c r="B3" s="511" t="s">
        <v>130</v>
      </c>
      <c r="C3" s="512"/>
      <c r="D3" s="512"/>
      <c r="E3" s="512"/>
      <c r="F3" s="512"/>
      <c r="G3" s="512"/>
      <c r="H3" s="512"/>
      <c r="I3" s="513"/>
    </row>
    <row r="4" spans="2:9" ht="28.75" x14ac:dyDescent="0.3">
      <c r="B4" s="81" t="s">
        <v>1</v>
      </c>
      <c r="C4" s="41" t="s">
        <v>7</v>
      </c>
      <c r="D4" s="41" t="s">
        <v>2</v>
      </c>
      <c r="E4" s="41" t="s">
        <v>3</v>
      </c>
      <c r="F4" s="41" t="s">
        <v>4</v>
      </c>
      <c r="G4" s="41" t="s">
        <v>24</v>
      </c>
      <c r="H4" s="41" t="s">
        <v>6</v>
      </c>
      <c r="I4" s="82" t="s">
        <v>25</v>
      </c>
    </row>
    <row r="5" spans="2:9" ht="14.4" x14ac:dyDescent="0.3">
      <c r="B5" s="83"/>
      <c r="C5" s="12" t="s">
        <v>8</v>
      </c>
      <c r="D5" s="1"/>
      <c r="E5" s="1"/>
      <c r="F5" s="1"/>
      <c r="G5" s="1"/>
      <c r="H5" s="1"/>
      <c r="I5" s="84"/>
    </row>
    <row r="6" spans="2:9" ht="14.4" x14ac:dyDescent="0.3">
      <c r="B6" s="85">
        <v>43893</v>
      </c>
      <c r="C6" s="1">
        <v>900000</v>
      </c>
      <c r="D6" s="2">
        <v>43893</v>
      </c>
      <c r="E6" s="2">
        <v>44258</v>
      </c>
      <c r="F6" s="59">
        <f>+E6-D6</f>
        <v>365</v>
      </c>
      <c r="G6" s="4">
        <v>0.18</v>
      </c>
      <c r="H6" s="5">
        <f>C6*F6*G6/365</f>
        <v>162000</v>
      </c>
      <c r="I6" s="86">
        <f>+C6+H6</f>
        <v>1062000</v>
      </c>
    </row>
    <row r="7" spans="2:9" ht="14.4" x14ac:dyDescent="0.3">
      <c r="B7" s="87"/>
      <c r="C7" s="5">
        <f>+I6</f>
        <v>1062000</v>
      </c>
      <c r="D7" s="2">
        <v>44259</v>
      </c>
      <c r="E7" s="2">
        <v>44467</v>
      </c>
      <c r="F7" s="58">
        <f t="shared" ref="F7" si="0">+E7-D7</f>
        <v>208</v>
      </c>
      <c r="G7" s="4">
        <v>0.18</v>
      </c>
      <c r="H7" s="5">
        <f>I6*F7*G7/365</f>
        <v>108935.01369863014</v>
      </c>
      <c r="I7" s="86">
        <f>+I6+H7</f>
        <v>1170935.01369863</v>
      </c>
    </row>
    <row r="8" spans="2:9" ht="14.4" x14ac:dyDescent="0.3">
      <c r="B8" s="87"/>
      <c r="C8" s="5"/>
      <c r="D8" s="2"/>
      <c r="E8" s="2"/>
      <c r="F8" s="58"/>
      <c r="G8" s="4"/>
      <c r="H8" s="5"/>
      <c r="I8" s="86"/>
    </row>
    <row r="9" spans="2:9" ht="14.4" x14ac:dyDescent="0.3">
      <c r="B9" s="87"/>
      <c r="C9" s="5"/>
      <c r="D9" s="2"/>
      <c r="E9" s="2"/>
      <c r="F9" s="58"/>
      <c r="G9" s="4"/>
      <c r="H9" s="5"/>
      <c r="I9" s="86"/>
    </row>
    <row r="10" spans="2:9" ht="14.4" x14ac:dyDescent="0.3">
      <c r="B10" s="85">
        <v>43907</v>
      </c>
      <c r="C10" s="1">
        <v>100000</v>
      </c>
      <c r="D10" s="2">
        <v>43907</v>
      </c>
      <c r="E10" s="2">
        <v>44272</v>
      </c>
      <c r="F10" s="59">
        <f>+E10-D10</f>
        <v>365</v>
      </c>
      <c r="G10" s="4">
        <v>0.18</v>
      </c>
      <c r="H10" s="5">
        <f>C10*F10*G10/365</f>
        <v>18000</v>
      </c>
      <c r="I10" s="86">
        <f>+C10+H10</f>
        <v>118000</v>
      </c>
    </row>
    <row r="11" spans="2:9" ht="14.4" x14ac:dyDescent="0.3">
      <c r="B11" s="87"/>
      <c r="C11" s="5">
        <f>+I10</f>
        <v>118000</v>
      </c>
      <c r="D11" s="2">
        <v>44273</v>
      </c>
      <c r="E11" s="2">
        <v>44467</v>
      </c>
      <c r="F11" s="58">
        <f t="shared" ref="F11" si="1">+E11-D11</f>
        <v>194</v>
      </c>
      <c r="G11" s="4">
        <v>0.18</v>
      </c>
      <c r="H11" s="5">
        <f>I10*F11*G11/365</f>
        <v>11289.205479452055</v>
      </c>
      <c r="I11" s="86">
        <f>+I10+H11</f>
        <v>129289.20547945205</v>
      </c>
    </row>
    <row r="12" spans="2:9" ht="14.4" x14ac:dyDescent="0.3">
      <c r="B12" s="87"/>
      <c r="C12" s="5"/>
      <c r="D12" s="2"/>
      <c r="E12" s="2"/>
      <c r="F12" s="58"/>
      <c r="G12" s="4"/>
      <c r="H12" s="5"/>
      <c r="I12" s="86"/>
    </row>
    <row r="13" spans="2:9" ht="14.4" x14ac:dyDescent="0.3">
      <c r="B13" s="87"/>
      <c r="C13" s="5"/>
      <c r="D13" s="2"/>
      <c r="E13" s="2"/>
      <c r="F13" s="56"/>
      <c r="G13" s="4"/>
      <c r="H13" s="8">
        <f>SUM(H6:H12)</f>
        <v>300224.21917808219</v>
      </c>
      <c r="I13" s="88"/>
    </row>
    <row r="14" spans="2:9" ht="14.4" x14ac:dyDescent="0.3">
      <c r="B14" s="87"/>
      <c r="C14" s="5"/>
      <c r="D14" s="2"/>
      <c r="E14" s="2"/>
      <c r="F14" s="3"/>
      <c r="G14" s="4"/>
      <c r="H14" s="8"/>
      <c r="I14" s="86"/>
    </row>
    <row r="15" spans="2:9" ht="14.4" x14ac:dyDescent="0.3">
      <c r="B15" s="85"/>
      <c r="C15" s="514" t="s">
        <v>42</v>
      </c>
      <c r="D15" s="515"/>
      <c r="E15" s="515"/>
      <c r="F15" s="515"/>
      <c r="G15" s="516"/>
      <c r="H15" s="8">
        <f>+H13</f>
        <v>300224.21917808219</v>
      </c>
      <c r="I15" s="86"/>
    </row>
    <row r="16" spans="2:9" ht="14.4" x14ac:dyDescent="0.3">
      <c r="B16" s="85"/>
      <c r="C16" s="514" t="s">
        <v>43</v>
      </c>
      <c r="D16" s="515"/>
      <c r="E16" s="515"/>
      <c r="F16" s="515"/>
      <c r="G16" s="516"/>
      <c r="H16" s="8">
        <f>+C6+C10</f>
        <v>1000000</v>
      </c>
      <c r="I16" s="86"/>
    </row>
    <row r="17" spans="2:9" ht="14.4" x14ac:dyDescent="0.3">
      <c r="B17" s="83"/>
      <c r="C17" s="539" t="s">
        <v>57</v>
      </c>
      <c r="D17" s="541"/>
      <c r="E17" s="541"/>
      <c r="F17" s="541"/>
      <c r="G17" s="540"/>
      <c r="H17" s="55">
        <f>SUM(H15:H16)</f>
        <v>1300224.2191780822</v>
      </c>
      <c r="I17" s="84"/>
    </row>
    <row r="18" spans="2:9" ht="15" thickBot="1" x14ac:dyDescent="0.35">
      <c r="B18" s="89"/>
      <c r="C18" s="622" t="s">
        <v>58</v>
      </c>
      <c r="D18" s="623"/>
      <c r="E18" s="623"/>
      <c r="F18" s="623"/>
      <c r="G18" s="624"/>
      <c r="H18" s="90">
        <f>SUM(H17:H17)</f>
        <v>1300224.2191780822</v>
      </c>
      <c r="I18" s="91"/>
    </row>
    <row r="27" spans="2:9" ht="15" thickBot="1" x14ac:dyDescent="0.35"/>
    <row r="28" spans="2:9" ht="18.649999999999999" thickBot="1" x14ac:dyDescent="0.4">
      <c r="B28" s="511" t="s">
        <v>271</v>
      </c>
      <c r="C28" s="512"/>
      <c r="D28" s="512"/>
      <c r="E28" s="512"/>
      <c r="F28" s="512"/>
      <c r="G28" s="512"/>
      <c r="H28" s="512"/>
      <c r="I28" s="513"/>
    </row>
    <row r="29" spans="2:9" ht="29.4" thickBot="1" x14ac:dyDescent="0.35">
      <c r="B29" s="168" t="s">
        <v>1</v>
      </c>
      <c r="C29" s="169" t="s">
        <v>7</v>
      </c>
      <c r="D29" s="169" t="s">
        <v>2</v>
      </c>
      <c r="E29" s="169" t="s">
        <v>3</v>
      </c>
      <c r="F29" s="169" t="s">
        <v>4</v>
      </c>
      <c r="G29" s="169" t="s">
        <v>24</v>
      </c>
      <c r="H29" s="169" t="s">
        <v>6</v>
      </c>
      <c r="I29" s="170" t="s">
        <v>25</v>
      </c>
    </row>
    <row r="30" spans="2:9" ht="14.4" x14ac:dyDescent="0.3">
      <c r="B30" s="300"/>
      <c r="C30" s="335" t="s">
        <v>8</v>
      </c>
      <c r="D30" s="167"/>
      <c r="E30" s="167"/>
      <c r="F30" s="167"/>
      <c r="G30" s="167"/>
      <c r="H30" s="167"/>
      <c r="I30" s="130"/>
    </row>
    <row r="31" spans="2:9" ht="14.4" x14ac:dyDescent="0.3">
      <c r="B31" s="85" t="s">
        <v>266</v>
      </c>
      <c r="C31" s="1">
        <v>10653459</v>
      </c>
      <c r="D31" s="2">
        <v>44919</v>
      </c>
      <c r="E31" s="2">
        <v>45284</v>
      </c>
      <c r="F31" s="59">
        <f>+E31-D31</f>
        <v>365</v>
      </c>
      <c r="G31" s="4">
        <v>0.18</v>
      </c>
      <c r="H31" s="5">
        <f>C31*F31*G31/365</f>
        <v>1917622.6199999999</v>
      </c>
      <c r="I31" s="86">
        <f>+C31+H31</f>
        <v>12571081.619999999</v>
      </c>
    </row>
    <row r="32" spans="2:9" ht="14.4" x14ac:dyDescent="0.3">
      <c r="B32" s="87"/>
      <c r="C32" s="5"/>
      <c r="D32" s="2">
        <f>+E31</f>
        <v>45284</v>
      </c>
      <c r="E32" s="2">
        <v>45379</v>
      </c>
      <c r="F32" s="58">
        <f>+E32-D32</f>
        <v>95</v>
      </c>
      <c r="G32" s="4">
        <v>0.18</v>
      </c>
      <c r="H32" s="5">
        <f>I31*F32*G32/365</f>
        <v>588946.56356712314</v>
      </c>
      <c r="I32" s="110">
        <f>+I31+H32</f>
        <v>13160028.183567122</v>
      </c>
    </row>
    <row r="33" spans="2:9" ht="14.4" x14ac:dyDescent="0.3">
      <c r="B33" s="87"/>
      <c r="C33" s="5"/>
      <c r="D33" s="2"/>
      <c r="E33" s="2"/>
      <c r="F33" s="58"/>
      <c r="G33" s="4"/>
      <c r="H33" s="5"/>
      <c r="I33" s="88"/>
    </row>
    <row r="34" spans="2:9" ht="14.4" x14ac:dyDescent="0.3">
      <c r="B34" s="87"/>
      <c r="C34" s="5"/>
      <c r="D34" s="2"/>
      <c r="E34" s="2"/>
      <c r="F34" s="56"/>
      <c r="G34" s="4"/>
      <c r="H34" s="8">
        <f>+SUM(H31:H32)</f>
        <v>2506569.183567123</v>
      </c>
      <c r="I34" s="86"/>
    </row>
    <row r="35" spans="2:9" ht="14.4" x14ac:dyDescent="0.3">
      <c r="B35" s="87"/>
      <c r="C35" s="5"/>
      <c r="D35" s="2"/>
      <c r="E35" s="2"/>
      <c r="F35" s="3"/>
      <c r="G35" s="4"/>
      <c r="H35" s="8"/>
      <c r="I35" s="86"/>
    </row>
    <row r="36" spans="2:9" ht="14.4" x14ac:dyDescent="0.3">
      <c r="B36" s="85"/>
      <c r="C36" s="514" t="s">
        <v>42</v>
      </c>
      <c r="D36" s="515"/>
      <c r="E36" s="515"/>
      <c r="F36" s="515"/>
      <c r="G36" s="516"/>
      <c r="H36" s="8">
        <f>+H34</f>
        <v>2506569.183567123</v>
      </c>
      <c r="I36" s="86"/>
    </row>
    <row r="37" spans="2:9" ht="14.4" x14ac:dyDescent="0.3">
      <c r="B37" s="85"/>
      <c r="C37" s="514" t="s">
        <v>43</v>
      </c>
      <c r="D37" s="515"/>
      <c r="E37" s="515"/>
      <c r="F37" s="515"/>
      <c r="G37" s="516"/>
      <c r="H37" s="8">
        <f>+C31</f>
        <v>10653459</v>
      </c>
      <c r="I37" s="86"/>
    </row>
    <row r="38" spans="2:9" ht="15" thickBot="1" x14ac:dyDescent="0.35">
      <c r="B38" s="179"/>
      <c r="C38" s="588" t="s">
        <v>58</v>
      </c>
      <c r="D38" s="589"/>
      <c r="E38" s="589"/>
      <c r="F38" s="589"/>
      <c r="G38" s="590"/>
      <c r="H38" s="333">
        <f>SUM(H36:H37)</f>
        <v>13160028.183567123</v>
      </c>
      <c r="I38" s="129"/>
    </row>
    <row r="39" spans="2:9" ht="15" thickBot="1" x14ac:dyDescent="0.35">
      <c r="B39" s="721" t="s">
        <v>269</v>
      </c>
      <c r="C39" s="685"/>
      <c r="D39" s="685"/>
      <c r="E39" s="685"/>
      <c r="F39" s="685"/>
      <c r="G39" s="685"/>
      <c r="H39" s="336">
        <f>+C45</f>
        <v>10000000</v>
      </c>
      <c r="I39" s="337"/>
    </row>
    <row r="40" spans="2:9" ht="18.649999999999999" thickBot="1" x14ac:dyDescent="0.4">
      <c r="B40" s="615" t="s">
        <v>270</v>
      </c>
      <c r="C40" s="616"/>
      <c r="D40" s="616"/>
      <c r="E40" s="616"/>
      <c r="F40" s="616"/>
      <c r="G40" s="616"/>
      <c r="H40" s="338">
        <f>+H38-H39</f>
        <v>3160028.1835671235</v>
      </c>
      <c r="I40" s="339"/>
    </row>
    <row r="41" spans="2:9" ht="18.649999999999999" thickBot="1" x14ac:dyDescent="0.4">
      <c r="B41" s="542" t="s">
        <v>139</v>
      </c>
      <c r="C41" s="542"/>
      <c r="D41" s="542"/>
      <c r="E41" s="542"/>
    </row>
    <row r="42" spans="2:9" ht="14.4" x14ac:dyDescent="0.3">
      <c r="B42" s="334" t="s">
        <v>267</v>
      </c>
      <c r="C42" s="177">
        <v>7000000</v>
      </c>
      <c r="D42" s="722" t="s">
        <v>268</v>
      </c>
      <c r="E42" s="723"/>
    </row>
    <row r="43" spans="2:9" ht="14.4" x14ac:dyDescent="0.3">
      <c r="B43" s="171" t="s">
        <v>267</v>
      </c>
      <c r="C43" s="1">
        <v>3000000</v>
      </c>
      <c r="D43" s="564" t="s">
        <v>268</v>
      </c>
      <c r="E43" s="724"/>
    </row>
    <row r="44" spans="2:9" ht="15" thickBot="1" x14ac:dyDescent="0.35">
      <c r="B44" s="237"/>
      <c r="C44" s="174"/>
      <c r="D44" s="725"/>
      <c r="E44" s="726"/>
    </row>
    <row r="45" spans="2:9" s="9" customFormat="1" ht="15" thickBot="1" x14ac:dyDescent="0.4">
      <c r="B45" s="234" t="s">
        <v>57</v>
      </c>
      <c r="C45" s="175">
        <f>SUM(C42:C44)</f>
        <v>10000000</v>
      </c>
      <c r="D45" s="594"/>
      <c r="E45" s="727"/>
    </row>
    <row r="47" spans="2:9" ht="15" thickBot="1" x14ac:dyDescent="0.4"/>
    <row r="48" spans="2:9" ht="19" thickBot="1" x14ac:dyDescent="0.5">
      <c r="B48" s="511" t="s">
        <v>271</v>
      </c>
      <c r="C48" s="512"/>
      <c r="D48" s="512"/>
      <c r="E48" s="512"/>
      <c r="F48" s="512"/>
      <c r="G48" s="512"/>
      <c r="H48" s="512"/>
      <c r="I48" s="513"/>
    </row>
    <row r="49" spans="2:9" ht="29.5" thickBot="1" x14ac:dyDescent="0.4">
      <c r="B49" s="168" t="s">
        <v>1</v>
      </c>
      <c r="C49" s="169" t="s">
        <v>7</v>
      </c>
      <c r="D49" s="169" t="s">
        <v>2</v>
      </c>
      <c r="E49" s="169" t="s">
        <v>3</v>
      </c>
      <c r="F49" s="169" t="s">
        <v>4</v>
      </c>
      <c r="G49" s="169" t="s">
        <v>24</v>
      </c>
      <c r="H49" s="169" t="s">
        <v>6</v>
      </c>
      <c r="I49" s="170" t="s">
        <v>25</v>
      </c>
    </row>
    <row r="50" spans="2:9" x14ac:dyDescent="0.35">
      <c r="B50" s="300"/>
      <c r="C50" s="335" t="s">
        <v>8</v>
      </c>
      <c r="D50" s="167"/>
      <c r="E50" s="167"/>
      <c r="F50" s="167"/>
      <c r="G50" s="167"/>
      <c r="H50" s="167"/>
      <c r="I50" s="130"/>
    </row>
    <row r="51" spans="2:9" x14ac:dyDescent="0.35">
      <c r="B51" s="85" t="s">
        <v>266</v>
      </c>
      <c r="C51" s="340">
        <v>10653459</v>
      </c>
      <c r="D51" s="2">
        <v>44919</v>
      </c>
      <c r="E51" s="2">
        <v>45284</v>
      </c>
      <c r="F51" s="59">
        <f>+E51-D51</f>
        <v>365</v>
      </c>
      <c r="G51" s="4">
        <v>0.18</v>
      </c>
      <c r="H51" s="5">
        <f>C51*F51*G51/365</f>
        <v>1917622.6199999999</v>
      </c>
      <c r="I51" s="86">
        <f>+C51+H51</f>
        <v>12571081.619999999</v>
      </c>
    </row>
    <row r="52" spans="2:9" x14ac:dyDescent="0.35">
      <c r="B52" s="87"/>
      <c r="C52" s="5"/>
      <c r="D52" s="2">
        <f>+E51</f>
        <v>45284</v>
      </c>
      <c r="E52" s="2">
        <v>45426</v>
      </c>
      <c r="F52" s="58">
        <f>+E52-D52</f>
        <v>142</v>
      </c>
      <c r="G52" s="4">
        <v>0.18</v>
      </c>
      <c r="H52" s="5">
        <f>I51*F52*G52/365</f>
        <v>880320.12659506849</v>
      </c>
      <c r="I52" s="110">
        <f>+I51+H52</f>
        <v>13451401.746595068</v>
      </c>
    </row>
    <row r="53" spans="2:9" x14ac:dyDescent="0.35">
      <c r="B53" s="87"/>
      <c r="C53" s="5"/>
      <c r="D53" s="2"/>
      <c r="E53" s="2"/>
      <c r="F53" s="58"/>
      <c r="G53" s="4"/>
      <c r="H53" s="5"/>
      <c r="I53" s="88"/>
    </row>
    <row r="54" spans="2:9" x14ac:dyDescent="0.35">
      <c r="B54" s="87"/>
      <c r="C54" s="5"/>
      <c r="D54" s="2"/>
      <c r="E54" s="2"/>
      <c r="F54" s="56"/>
      <c r="G54" s="4"/>
      <c r="H54" s="8">
        <f>+SUM(H51:H52)</f>
        <v>2797942.7465950684</v>
      </c>
      <c r="I54" s="86"/>
    </row>
    <row r="55" spans="2:9" x14ac:dyDescent="0.35">
      <c r="B55" s="87" t="s">
        <v>267</v>
      </c>
      <c r="C55" s="5">
        <v>-10000000</v>
      </c>
      <c r="D55" s="2">
        <v>45379</v>
      </c>
      <c r="E55" s="2">
        <v>45426</v>
      </c>
      <c r="F55" s="58">
        <f>+E55-D55</f>
        <v>47</v>
      </c>
      <c r="G55" s="4">
        <v>0.18</v>
      </c>
      <c r="H55" s="5">
        <f>C55*F55*G55/365</f>
        <v>-231780.82191780821</v>
      </c>
      <c r="I55" s="86"/>
    </row>
    <row r="56" spans="2:9" x14ac:dyDescent="0.35">
      <c r="B56" s="87"/>
      <c r="C56" s="5"/>
      <c r="D56" s="2"/>
      <c r="E56" s="2"/>
      <c r="F56" s="56"/>
      <c r="G56" s="4"/>
      <c r="H56" s="8"/>
      <c r="I56" s="86"/>
    </row>
    <row r="57" spans="2:9" x14ac:dyDescent="0.35">
      <c r="B57" s="87"/>
      <c r="C57" s="5"/>
      <c r="D57" s="2"/>
      <c r="E57" s="2"/>
      <c r="F57" s="3"/>
      <c r="G57" s="4"/>
      <c r="H57" s="8"/>
      <c r="I57" s="86"/>
    </row>
    <row r="58" spans="2:9" ht="23.5" x14ac:dyDescent="0.55000000000000004">
      <c r="B58" s="85"/>
      <c r="C58" s="514" t="s">
        <v>272</v>
      </c>
      <c r="D58" s="515"/>
      <c r="E58" s="515"/>
      <c r="F58" s="515"/>
      <c r="G58" s="516"/>
      <c r="H58" s="8">
        <f>+H54+H55</f>
        <v>2566161.9246772602</v>
      </c>
      <c r="I58" s="86"/>
    </row>
    <row r="59" spans="2:9" x14ac:dyDescent="0.35">
      <c r="B59" s="85"/>
      <c r="C59" s="514" t="s">
        <v>43</v>
      </c>
      <c r="D59" s="515"/>
      <c r="E59" s="515"/>
      <c r="F59" s="515"/>
      <c r="G59" s="516"/>
      <c r="H59" s="8">
        <f>+C51</f>
        <v>10653459</v>
      </c>
      <c r="I59" s="86"/>
    </row>
    <row r="60" spans="2:9" ht="15" thickBot="1" x14ac:dyDescent="0.4">
      <c r="B60" s="179"/>
      <c r="C60" s="588" t="s">
        <v>58</v>
      </c>
      <c r="D60" s="589"/>
      <c r="E60" s="589"/>
      <c r="F60" s="589"/>
      <c r="G60" s="590"/>
      <c r="H60" s="333">
        <f>SUM(H58:H59)</f>
        <v>13219620.92467726</v>
      </c>
      <c r="I60" s="129"/>
    </row>
    <row r="61" spans="2:9" ht="15" thickBot="1" x14ac:dyDescent="0.4">
      <c r="B61" s="721" t="s">
        <v>269</v>
      </c>
      <c r="C61" s="685"/>
      <c r="D61" s="685"/>
      <c r="E61" s="685"/>
      <c r="F61" s="685"/>
      <c r="G61" s="685"/>
      <c r="H61" s="336">
        <f>+C68</f>
        <v>10000000</v>
      </c>
      <c r="I61" s="337"/>
    </row>
    <row r="62" spans="2:9" ht="19" thickBot="1" x14ac:dyDescent="0.5">
      <c r="B62" s="615" t="s">
        <v>270</v>
      </c>
      <c r="C62" s="616"/>
      <c r="D62" s="616"/>
      <c r="E62" s="616"/>
      <c r="F62" s="616"/>
      <c r="G62" s="616"/>
      <c r="H62" s="338">
        <f>+H60-H61</f>
        <v>3219620.9246772602</v>
      </c>
      <c r="I62" s="339"/>
    </row>
    <row r="63" spans="2:9" ht="19" thickBot="1" x14ac:dyDescent="0.5">
      <c r="B63" s="542" t="s">
        <v>139</v>
      </c>
      <c r="C63" s="542"/>
      <c r="D63" s="542"/>
      <c r="E63" s="542"/>
    </row>
    <row r="64" spans="2:9" x14ac:dyDescent="0.35">
      <c r="B64" s="334" t="s">
        <v>267</v>
      </c>
      <c r="C64" s="177">
        <v>7000000</v>
      </c>
      <c r="D64" s="722" t="s">
        <v>268</v>
      </c>
      <c r="E64" s="723"/>
    </row>
    <row r="65" spans="2:9" x14ac:dyDescent="0.35">
      <c r="B65" s="171" t="s">
        <v>267</v>
      </c>
      <c r="C65" s="1">
        <v>3000000</v>
      </c>
      <c r="D65" s="564" t="s">
        <v>268</v>
      </c>
      <c r="E65" s="724"/>
    </row>
    <row r="66" spans="2:9" x14ac:dyDescent="0.35">
      <c r="B66" s="237"/>
      <c r="C66" s="174"/>
      <c r="D66" s="514"/>
      <c r="E66" s="611"/>
    </row>
    <row r="67" spans="2:9" ht="15" thickBot="1" x14ac:dyDescent="0.4">
      <c r="B67" s="237"/>
      <c r="C67" s="174"/>
      <c r="D67" s="725"/>
      <c r="E67" s="726"/>
    </row>
    <row r="68" spans="2:9" ht="15" thickBot="1" x14ac:dyDescent="0.4">
      <c r="B68" s="234" t="s">
        <v>57</v>
      </c>
      <c r="C68" s="175">
        <f>SUM(C64:C67)</f>
        <v>10000000</v>
      </c>
      <c r="D68" s="594"/>
      <c r="E68" s="727"/>
      <c r="F68" s="9"/>
      <c r="G68" s="9"/>
      <c r="H68" s="9"/>
      <c r="I68" s="9"/>
    </row>
  </sheetData>
  <mergeCells count="28">
    <mergeCell ref="D67:E67"/>
    <mergeCell ref="D68:E68"/>
    <mergeCell ref="B61:G61"/>
    <mergeCell ref="B62:G62"/>
    <mergeCell ref="B63:E63"/>
    <mergeCell ref="D64:E64"/>
    <mergeCell ref="D65:E65"/>
    <mergeCell ref="D66:E66"/>
    <mergeCell ref="D45:E45"/>
    <mergeCell ref="B48:I48"/>
    <mergeCell ref="C58:G58"/>
    <mergeCell ref="C59:G59"/>
    <mergeCell ref="C60:G60"/>
    <mergeCell ref="B40:G40"/>
    <mergeCell ref="B41:E41"/>
    <mergeCell ref="D42:E42"/>
    <mergeCell ref="D43:E43"/>
    <mergeCell ref="D44:E44"/>
    <mergeCell ref="B28:I28"/>
    <mergeCell ref="C36:G36"/>
    <mergeCell ref="C37:G37"/>
    <mergeCell ref="C38:G38"/>
    <mergeCell ref="B39:G39"/>
    <mergeCell ref="B3:I3"/>
    <mergeCell ref="C15:G15"/>
    <mergeCell ref="C16:G16"/>
    <mergeCell ref="C17:G17"/>
    <mergeCell ref="C18:G18"/>
  </mergeCells>
  <printOptions horizontalCentered="1"/>
  <pageMargins left="0.25" right="0.25" top="0.25" bottom="0.2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0"/>
  <sheetViews>
    <sheetView topLeftCell="A94" workbookViewId="0">
      <selection activeCell="A68" sqref="A68:J111"/>
    </sheetView>
  </sheetViews>
  <sheetFormatPr defaultRowHeight="14.5" x14ac:dyDescent="0.35"/>
  <cols>
    <col min="2" max="2" width="10.08984375" style="6" bestFit="1" customWidth="1"/>
    <col min="3" max="3" width="10.6328125" style="6" customWidth="1"/>
    <col min="4" max="4" width="13.36328125" style="6" customWidth="1"/>
    <col min="5" max="5" width="14.81640625" style="6" customWidth="1"/>
    <col min="6" max="6" width="8.90625" style="6"/>
    <col min="7" max="7" width="9.6328125" style="6" customWidth="1"/>
    <col min="8" max="8" width="12.36328125" style="6" customWidth="1"/>
    <col min="9" max="9" width="12" style="6" bestFit="1" customWidth="1"/>
    <col min="10" max="10" width="9.08984375" customWidth="1"/>
    <col min="11" max="11" width="13.54296875" bestFit="1" customWidth="1"/>
  </cols>
  <sheetData>
    <row r="1" spans="2:11" ht="14.4" x14ac:dyDescent="0.3">
      <c r="B1"/>
    </row>
    <row r="2" spans="2:11" ht="18" x14ac:dyDescent="0.35">
      <c r="B2" s="542" t="s">
        <v>38</v>
      </c>
      <c r="C2" s="542"/>
      <c r="D2" s="542"/>
      <c r="E2" s="542"/>
      <c r="F2" s="542"/>
      <c r="G2" s="542"/>
      <c r="H2" s="542"/>
      <c r="I2" s="542"/>
    </row>
    <row r="3" spans="2:11" ht="14.4" x14ac:dyDescent="0.3">
      <c r="B3" s="557" t="s">
        <v>46</v>
      </c>
      <c r="C3" s="558"/>
      <c r="D3" s="558"/>
      <c r="E3" s="558"/>
      <c r="F3" s="558"/>
      <c r="G3" s="558"/>
      <c r="H3" s="558"/>
      <c r="I3" s="559"/>
    </row>
    <row r="4" spans="2:11" s="43" customFormat="1" ht="28.75" x14ac:dyDescent="0.3">
      <c r="B4" s="41" t="s">
        <v>1</v>
      </c>
      <c r="C4" s="41" t="s">
        <v>7</v>
      </c>
      <c r="D4" s="41" t="s">
        <v>2</v>
      </c>
      <c r="E4" s="41" t="s">
        <v>3</v>
      </c>
      <c r="F4" s="41" t="s">
        <v>4</v>
      </c>
      <c r="G4" s="41" t="s">
        <v>24</v>
      </c>
      <c r="H4" s="41" t="s">
        <v>6</v>
      </c>
      <c r="I4" s="41" t="s">
        <v>33</v>
      </c>
    </row>
    <row r="5" spans="2:11" ht="14.4" x14ac:dyDescent="0.3">
      <c r="B5" s="15"/>
      <c r="C5" s="12" t="s">
        <v>8</v>
      </c>
      <c r="D5" s="15"/>
      <c r="E5" s="15"/>
      <c r="F5" s="15"/>
      <c r="G5" s="15"/>
      <c r="H5" s="15"/>
      <c r="I5" s="15"/>
    </row>
    <row r="6" spans="2:11" ht="14.4" x14ac:dyDescent="0.3">
      <c r="B6" s="2">
        <v>42245</v>
      </c>
      <c r="C6" s="54">
        <v>1500000</v>
      </c>
      <c r="D6" s="17">
        <v>42245</v>
      </c>
      <c r="E6" s="17">
        <v>42610</v>
      </c>
      <c r="F6" s="54">
        <f t="shared" ref="F6:F10" si="0">+E6-D6</f>
        <v>365</v>
      </c>
      <c r="G6" s="45">
        <v>0.18</v>
      </c>
      <c r="H6" s="54">
        <f>C6*F6*G6/365</f>
        <v>270000</v>
      </c>
      <c r="I6" s="54">
        <f>+C6+H6</f>
        <v>1770000</v>
      </c>
      <c r="J6" s="14"/>
    </row>
    <row r="7" spans="2:11" ht="14.4" x14ac:dyDescent="0.3">
      <c r="B7" s="40"/>
      <c r="C7" s="54"/>
      <c r="D7" s="17">
        <f>+E6</f>
        <v>42610</v>
      </c>
      <c r="E7" s="17">
        <v>42975</v>
      </c>
      <c r="F7" s="54">
        <f t="shared" si="0"/>
        <v>365</v>
      </c>
      <c r="G7" s="45">
        <v>0.18</v>
      </c>
      <c r="H7" s="54">
        <f>I6*G7</f>
        <v>318600</v>
      </c>
      <c r="I7" s="54">
        <f>I6+H7</f>
        <v>2088600</v>
      </c>
      <c r="J7" s="11"/>
    </row>
    <row r="8" spans="2:11" ht="14.4" x14ac:dyDescent="0.3">
      <c r="B8" s="40"/>
      <c r="C8" s="54"/>
      <c r="D8" s="17">
        <f t="shared" ref="D8:D10" si="1">+E7</f>
        <v>42975</v>
      </c>
      <c r="E8" s="17">
        <v>43340</v>
      </c>
      <c r="F8" s="54">
        <f t="shared" si="0"/>
        <v>365</v>
      </c>
      <c r="G8" s="45">
        <v>0.18</v>
      </c>
      <c r="H8" s="54">
        <f>I7*G8</f>
        <v>375948</v>
      </c>
      <c r="I8" s="54">
        <f>I7+H8</f>
        <v>2464548</v>
      </c>
      <c r="J8" s="11"/>
    </row>
    <row r="9" spans="2:11" ht="14.4" x14ac:dyDescent="0.3">
      <c r="B9" s="40"/>
      <c r="C9" s="54"/>
      <c r="D9" s="17">
        <f t="shared" si="1"/>
        <v>43340</v>
      </c>
      <c r="E9" s="17">
        <v>43705</v>
      </c>
      <c r="F9" s="54">
        <f t="shared" si="0"/>
        <v>365</v>
      </c>
      <c r="G9" s="45">
        <v>0.18</v>
      </c>
      <c r="H9" s="54">
        <f>I8*G9</f>
        <v>443618.63999999996</v>
      </c>
      <c r="I9" s="54">
        <f>I8+H9</f>
        <v>2908166.64</v>
      </c>
      <c r="J9" s="14"/>
    </row>
    <row r="10" spans="2:11" ht="14.4" x14ac:dyDescent="0.3">
      <c r="B10" s="40"/>
      <c r="C10" s="54"/>
      <c r="D10" s="17">
        <f t="shared" si="1"/>
        <v>43705</v>
      </c>
      <c r="E10" s="17">
        <v>43918</v>
      </c>
      <c r="F10" s="54">
        <f t="shared" si="0"/>
        <v>213</v>
      </c>
      <c r="G10" s="45">
        <v>0.18</v>
      </c>
      <c r="H10" s="54">
        <f>I9*G10*F10/365</f>
        <v>305477.01089753426</v>
      </c>
      <c r="I10" s="40">
        <f>I9+H10</f>
        <v>3213643.6508975346</v>
      </c>
      <c r="J10" s="14"/>
    </row>
    <row r="11" spans="2:11" ht="14.4" x14ac:dyDescent="0.3">
      <c r="B11" s="40"/>
      <c r="C11" s="560" t="s">
        <v>39</v>
      </c>
      <c r="D11" s="561"/>
      <c r="E11" s="561"/>
      <c r="F11" s="561"/>
      <c r="G11" s="562"/>
      <c r="H11" s="40">
        <f>SUM(H6:H10)</f>
        <v>1713643.6508975341</v>
      </c>
      <c r="I11" s="54"/>
      <c r="J11" s="14"/>
    </row>
    <row r="12" spans="2:11" ht="14.4" x14ac:dyDescent="0.3">
      <c r="B12" s="40"/>
      <c r="C12" s="560" t="s">
        <v>44</v>
      </c>
      <c r="D12" s="561"/>
      <c r="E12" s="561"/>
      <c r="F12" s="561"/>
      <c r="G12" s="562"/>
      <c r="H12" s="40">
        <f>+C6</f>
        <v>1500000</v>
      </c>
      <c r="I12" s="54"/>
      <c r="J12" s="14"/>
    </row>
    <row r="13" spans="2:11" ht="14.4" x14ac:dyDescent="0.3">
      <c r="B13" s="40"/>
      <c r="C13" s="560" t="s">
        <v>40</v>
      </c>
      <c r="D13" s="561"/>
      <c r="E13" s="561"/>
      <c r="F13" s="561"/>
      <c r="G13" s="562"/>
      <c r="H13" s="293">
        <f>SUM(H11:H12)</f>
        <v>3213643.6508975341</v>
      </c>
      <c r="I13" s="54"/>
      <c r="J13" s="14"/>
      <c r="K13">
        <v>3213523</v>
      </c>
    </row>
    <row r="14" spans="2:11" ht="14.4" x14ac:dyDescent="0.3">
      <c r="B14" s="40"/>
      <c r="C14" s="54"/>
      <c r="D14" s="17"/>
      <c r="E14" s="17"/>
      <c r="F14" s="25"/>
      <c r="G14" s="45"/>
      <c r="H14" s="40"/>
      <c r="I14" s="54"/>
      <c r="J14" s="14"/>
      <c r="K14" s="14">
        <f>H13-K13</f>
        <v>120.65089753409848</v>
      </c>
    </row>
    <row r="15" spans="2:11" ht="14.4" x14ac:dyDescent="0.3">
      <c r="B15" s="40"/>
      <c r="C15" s="54"/>
      <c r="D15" s="17"/>
      <c r="E15" s="17"/>
      <c r="F15" s="25"/>
      <c r="G15" s="45"/>
      <c r="H15" s="40"/>
      <c r="I15" s="54"/>
      <c r="J15" s="14"/>
    </row>
    <row r="16" spans="2:11" ht="14.4" x14ac:dyDescent="0.3">
      <c r="B16" s="557" t="s">
        <v>45</v>
      </c>
      <c r="C16" s="558"/>
      <c r="D16" s="558"/>
      <c r="E16" s="558"/>
      <c r="F16" s="558"/>
      <c r="G16" s="558"/>
      <c r="H16" s="558"/>
      <c r="I16" s="559"/>
      <c r="J16" s="14"/>
    </row>
    <row r="17" spans="2:10" s="43" customFormat="1" ht="28.75" x14ac:dyDescent="0.3">
      <c r="B17" s="41" t="s">
        <v>1</v>
      </c>
      <c r="C17" s="41" t="s">
        <v>7</v>
      </c>
      <c r="D17" s="41" t="s">
        <v>2</v>
      </c>
      <c r="E17" s="41" t="s">
        <v>3</v>
      </c>
      <c r="F17" s="41" t="s">
        <v>4</v>
      </c>
      <c r="G17" s="41" t="s">
        <v>24</v>
      </c>
      <c r="H17" s="41" t="s">
        <v>6</v>
      </c>
      <c r="I17" s="41" t="s">
        <v>33</v>
      </c>
    </row>
    <row r="18" spans="2:10" ht="14.4" x14ac:dyDescent="0.3">
      <c r="B18" s="2">
        <v>42245</v>
      </c>
      <c r="C18" s="54">
        <v>1500000</v>
      </c>
      <c r="D18" s="17">
        <v>42245</v>
      </c>
      <c r="E18" s="17">
        <v>42610</v>
      </c>
      <c r="F18" s="54">
        <f t="shared" ref="F18:F22" si="2">+E18-D18</f>
        <v>365</v>
      </c>
      <c r="G18" s="45">
        <v>0.18</v>
      </c>
      <c r="H18" s="54">
        <f>$C$18*F18*G18/365</f>
        <v>270000</v>
      </c>
      <c r="I18" s="54"/>
      <c r="J18" s="14"/>
    </row>
    <row r="19" spans="2:10" ht="14.4" x14ac:dyDescent="0.3">
      <c r="B19" s="25"/>
      <c r="C19" s="54"/>
      <c r="D19" s="17">
        <f>+E18</f>
        <v>42610</v>
      </c>
      <c r="E19" s="17">
        <v>42975</v>
      </c>
      <c r="F19" s="54">
        <f t="shared" si="2"/>
        <v>365</v>
      </c>
      <c r="G19" s="45">
        <v>0.18</v>
      </c>
      <c r="H19" s="54">
        <f t="shared" ref="H19:H21" si="3">$C$18*F19*G19/365</f>
        <v>270000</v>
      </c>
      <c r="I19" s="54"/>
      <c r="J19" s="14"/>
    </row>
    <row r="20" spans="2:10" ht="14.4" x14ac:dyDescent="0.3">
      <c r="B20" s="25"/>
      <c r="C20" s="54"/>
      <c r="D20" s="17">
        <f t="shared" ref="D20:D22" si="4">+E19</f>
        <v>42975</v>
      </c>
      <c r="E20" s="17">
        <v>43340</v>
      </c>
      <c r="F20" s="54">
        <f t="shared" si="2"/>
        <v>365</v>
      </c>
      <c r="G20" s="45">
        <v>0.18</v>
      </c>
      <c r="H20" s="54">
        <f t="shared" si="3"/>
        <v>270000</v>
      </c>
      <c r="I20" s="54"/>
      <c r="J20" s="14"/>
    </row>
    <row r="21" spans="2:10" ht="14.4" x14ac:dyDescent="0.3">
      <c r="B21" s="25"/>
      <c r="C21" s="54"/>
      <c r="D21" s="17">
        <f t="shared" si="4"/>
        <v>43340</v>
      </c>
      <c r="E21" s="17">
        <v>43705</v>
      </c>
      <c r="F21" s="54">
        <f t="shared" si="2"/>
        <v>365</v>
      </c>
      <c r="G21" s="45">
        <v>0.18</v>
      </c>
      <c r="H21" s="54">
        <f t="shared" si="3"/>
        <v>270000</v>
      </c>
      <c r="I21" s="54"/>
      <c r="J21" s="14"/>
    </row>
    <row r="22" spans="2:10" ht="14.4" x14ac:dyDescent="0.3">
      <c r="B22" s="25"/>
      <c r="C22" s="54"/>
      <c r="D22" s="17">
        <f t="shared" si="4"/>
        <v>43705</v>
      </c>
      <c r="E22" s="17">
        <v>43921</v>
      </c>
      <c r="F22" s="54">
        <f t="shared" si="2"/>
        <v>216</v>
      </c>
      <c r="G22" s="45">
        <v>0.18</v>
      </c>
      <c r="H22" s="54">
        <f>$C$18*F22*G22/365</f>
        <v>159780.82191780821</v>
      </c>
      <c r="I22" s="54"/>
      <c r="J22" s="14"/>
    </row>
    <row r="23" spans="2:10" ht="14.4" x14ac:dyDescent="0.3">
      <c r="B23" s="25"/>
      <c r="C23" s="560" t="s">
        <v>39</v>
      </c>
      <c r="D23" s="561"/>
      <c r="E23" s="561"/>
      <c r="F23" s="561"/>
      <c r="G23" s="562"/>
      <c r="H23" s="40">
        <f>SUM(H18:H22)</f>
        <v>1239780.8219178081</v>
      </c>
      <c r="I23" s="40"/>
      <c r="J23" s="14"/>
    </row>
    <row r="24" spans="2:10" ht="14.4" x14ac:dyDescent="0.3">
      <c r="B24" s="25"/>
      <c r="C24" s="560" t="s">
        <v>44</v>
      </c>
      <c r="D24" s="561"/>
      <c r="E24" s="561"/>
      <c r="F24" s="561"/>
      <c r="G24" s="562"/>
      <c r="H24" s="40">
        <f>+C18</f>
        <v>1500000</v>
      </c>
      <c r="I24" s="40"/>
      <c r="J24" s="14"/>
    </row>
    <row r="25" spans="2:10" s="9" customFormat="1" ht="14.4" x14ac:dyDescent="0.3">
      <c r="B25" s="25"/>
      <c r="C25" s="557" t="s">
        <v>40</v>
      </c>
      <c r="D25" s="558"/>
      <c r="E25" s="558"/>
      <c r="F25" s="558"/>
      <c r="G25" s="559"/>
      <c r="H25" s="293">
        <f>SUM(H23:H24)</f>
        <v>2739780.8219178081</v>
      </c>
      <c r="I25" s="40"/>
      <c r="J25" s="11"/>
    </row>
    <row r="27" spans="2:10" s="6" customFormat="1" ht="14.4" x14ac:dyDescent="0.3">
      <c r="B27" s="10"/>
      <c r="C27" s="10"/>
      <c r="D27" s="10"/>
      <c r="E27" s="10"/>
      <c r="F27" s="10"/>
      <c r="G27" s="10"/>
      <c r="H27" s="10"/>
      <c r="I27" s="10"/>
      <c r="J27" s="10"/>
    </row>
    <row r="28" spans="2:10" ht="18" x14ac:dyDescent="0.35">
      <c r="B28" s="542" t="s">
        <v>38</v>
      </c>
      <c r="C28" s="542"/>
      <c r="D28" s="542"/>
      <c r="E28" s="542"/>
      <c r="F28" s="542"/>
      <c r="G28" s="542"/>
      <c r="H28" s="542"/>
      <c r="I28" s="542"/>
    </row>
    <row r="29" spans="2:10" ht="14.4" x14ac:dyDescent="0.3">
      <c r="B29" s="557" t="s">
        <v>46</v>
      </c>
      <c r="C29" s="558"/>
      <c r="D29" s="558"/>
      <c r="E29" s="558"/>
      <c r="F29" s="558"/>
      <c r="G29" s="558"/>
      <c r="H29" s="558"/>
      <c r="I29" s="559"/>
      <c r="J29" s="14"/>
    </row>
    <row r="30" spans="2:10" ht="28.75" x14ac:dyDescent="0.3">
      <c r="B30" s="41" t="s">
        <v>1</v>
      </c>
      <c r="C30" s="41" t="s">
        <v>7</v>
      </c>
      <c r="D30" s="41" t="s">
        <v>2</v>
      </c>
      <c r="E30" s="41" t="s">
        <v>3</v>
      </c>
      <c r="F30" s="41" t="s">
        <v>4</v>
      </c>
      <c r="G30" s="41" t="s">
        <v>24</v>
      </c>
      <c r="H30" s="41" t="s">
        <v>6</v>
      </c>
      <c r="I30" s="41" t="s">
        <v>33</v>
      </c>
      <c r="J30" s="14"/>
    </row>
    <row r="31" spans="2:10" ht="14.4" x14ac:dyDescent="0.3">
      <c r="B31" s="15"/>
      <c r="C31" s="12" t="s">
        <v>8</v>
      </c>
      <c r="D31" s="15"/>
      <c r="E31" s="15"/>
      <c r="F31" s="15"/>
      <c r="G31" s="15"/>
      <c r="H31" s="15"/>
      <c r="I31" s="15"/>
    </row>
    <row r="32" spans="2:10" ht="14.4" x14ac:dyDescent="0.3">
      <c r="B32" s="2" t="s">
        <v>246</v>
      </c>
      <c r="C32" s="54">
        <v>1500000</v>
      </c>
      <c r="D32" s="17">
        <v>42245</v>
      </c>
      <c r="E32" s="17">
        <v>42610</v>
      </c>
      <c r="F32" s="54">
        <f t="shared" ref="F32:F37" si="5">+E32-D32</f>
        <v>365</v>
      </c>
      <c r="G32" s="45">
        <v>0.18</v>
      </c>
      <c r="H32" s="54">
        <f>C32*F32*G32/365</f>
        <v>270000</v>
      </c>
      <c r="I32" s="54">
        <f>+C32+H32</f>
        <v>1770000</v>
      </c>
      <c r="J32" s="11"/>
    </row>
    <row r="33" spans="2:11" ht="14.4" x14ac:dyDescent="0.3">
      <c r="B33" s="40"/>
      <c r="C33" s="54"/>
      <c r="D33" s="17">
        <f>+E32</f>
        <v>42610</v>
      </c>
      <c r="E33" s="17">
        <v>42975</v>
      </c>
      <c r="F33" s="54">
        <f t="shared" si="5"/>
        <v>365</v>
      </c>
      <c r="G33" s="45">
        <v>0.18</v>
      </c>
      <c r="H33" s="54">
        <f>I32*G33</f>
        <v>318600</v>
      </c>
      <c r="I33" s="54">
        <f>I32+H33</f>
        <v>2088600</v>
      </c>
      <c r="J33" s="11"/>
    </row>
    <row r="34" spans="2:11" ht="14.4" x14ac:dyDescent="0.3">
      <c r="B34" s="40"/>
      <c r="C34" s="54"/>
      <c r="D34" s="17">
        <f t="shared" ref="D34:D36" si="6">+E33</f>
        <v>42975</v>
      </c>
      <c r="E34" s="17">
        <v>43340</v>
      </c>
      <c r="F34" s="54">
        <f t="shared" si="5"/>
        <v>365</v>
      </c>
      <c r="G34" s="45">
        <v>0.18</v>
      </c>
      <c r="H34" s="54">
        <f>I33*G34</f>
        <v>375948</v>
      </c>
      <c r="I34" s="54">
        <f>I33+H34</f>
        <v>2464548</v>
      </c>
      <c r="J34" s="11"/>
    </row>
    <row r="35" spans="2:11" ht="14.4" x14ac:dyDescent="0.3">
      <c r="B35" s="40"/>
      <c r="C35" s="54"/>
      <c r="D35" s="17">
        <f t="shared" si="6"/>
        <v>43340</v>
      </c>
      <c r="E35" s="17">
        <v>43705</v>
      </c>
      <c r="F35" s="54">
        <f t="shared" si="5"/>
        <v>365</v>
      </c>
      <c r="G35" s="45">
        <v>0.18</v>
      </c>
      <c r="H35" s="54">
        <f>I34*G35</f>
        <v>443618.63999999996</v>
      </c>
      <c r="I35" s="54">
        <f>I34+H35</f>
        <v>2908166.64</v>
      </c>
      <c r="J35" s="11"/>
    </row>
    <row r="36" spans="2:11" ht="14.4" x14ac:dyDescent="0.3">
      <c r="B36" s="40"/>
      <c r="C36" s="54"/>
      <c r="D36" s="17">
        <f t="shared" si="6"/>
        <v>43705</v>
      </c>
      <c r="E36" s="17">
        <v>44070</v>
      </c>
      <c r="F36" s="54">
        <f t="shared" si="5"/>
        <v>365</v>
      </c>
      <c r="G36" s="45">
        <v>0.18</v>
      </c>
      <c r="H36" s="54">
        <f>I35*G36*F36/365</f>
        <v>523469.9952</v>
      </c>
      <c r="I36" s="40">
        <f>I35+H36</f>
        <v>3431636.6352000004</v>
      </c>
      <c r="J36" s="11"/>
    </row>
    <row r="37" spans="2:11" ht="14.4" x14ac:dyDescent="0.3">
      <c r="B37" s="40"/>
      <c r="C37" s="292"/>
      <c r="D37" s="318">
        <f>+E36</f>
        <v>44070</v>
      </c>
      <c r="E37" s="318">
        <v>44377</v>
      </c>
      <c r="F37" s="125">
        <f t="shared" si="5"/>
        <v>307</v>
      </c>
      <c r="G37" s="45">
        <v>0.18</v>
      </c>
      <c r="H37" s="54">
        <f>I36*G37*F37/365</f>
        <v>519540.384825074</v>
      </c>
      <c r="I37" s="40">
        <f>I36+H37</f>
        <v>3951177.0200250745</v>
      </c>
      <c r="J37" s="11"/>
    </row>
    <row r="38" spans="2:11" ht="14.4" x14ac:dyDescent="0.3">
      <c r="B38" s="40"/>
      <c r="C38" s="560" t="s">
        <v>39</v>
      </c>
      <c r="D38" s="561"/>
      <c r="E38" s="561"/>
      <c r="F38" s="561"/>
      <c r="G38" s="562"/>
      <c r="H38" s="40">
        <f>SUM(H32:H37)</f>
        <v>2451177.020025074</v>
      </c>
      <c r="I38" s="54"/>
      <c r="J38" s="11"/>
    </row>
    <row r="39" spans="2:11" ht="14.4" x14ac:dyDescent="0.3">
      <c r="B39" s="40"/>
      <c r="C39" s="560" t="s">
        <v>40</v>
      </c>
      <c r="D39" s="561"/>
      <c r="E39" s="561"/>
      <c r="F39" s="561"/>
      <c r="G39" s="562"/>
      <c r="H39" s="293">
        <f>SUM(H38:H38)</f>
        <v>2451177.020025074</v>
      </c>
      <c r="I39" s="54"/>
    </row>
    <row r="40" spans="2:11" ht="14.4" x14ac:dyDescent="0.3">
      <c r="B40" s="40"/>
      <c r="C40" s="54"/>
      <c r="D40" s="17"/>
      <c r="E40" s="17"/>
      <c r="F40" s="25"/>
      <c r="G40" s="45"/>
      <c r="H40" s="40"/>
      <c r="I40" s="54"/>
      <c r="K40" s="14"/>
    </row>
    <row r="41" spans="2:11" ht="15" thickBot="1" x14ac:dyDescent="0.35">
      <c r="B41" s="40"/>
      <c r="C41" s="54"/>
      <c r="D41" s="17"/>
      <c r="E41" s="17"/>
      <c r="F41" s="25"/>
      <c r="G41" s="45"/>
      <c r="H41" s="40"/>
      <c r="I41" s="54"/>
    </row>
    <row r="42" spans="2:11" ht="14.4" x14ac:dyDescent="0.3">
      <c r="B42" s="563" t="s">
        <v>123</v>
      </c>
      <c r="C42" s="563"/>
      <c r="D42" s="563"/>
      <c r="E42" s="563"/>
      <c r="F42" s="563"/>
      <c r="G42" s="563"/>
      <c r="H42" s="563"/>
      <c r="I42" s="563"/>
    </row>
    <row r="43" spans="2:11" ht="28.75" x14ac:dyDescent="0.3">
      <c r="B43" s="81" t="s">
        <v>1</v>
      </c>
      <c r="C43" s="41" t="s">
        <v>7</v>
      </c>
      <c r="D43" s="41" t="s">
        <v>2</v>
      </c>
      <c r="E43" s="41" t="s">
        <v>3</v>
      </c>
      <c r="F43" s="41" t="s">
        <v>4</v>
      </c>
      <c r="G43" s="41" t="s">
        <v>24</v>
      </c>
      <c r="H43" s="41" t="s">
        <v>6</v>
      </c>
      <c r="I43" s="82" t="s">
        <v>25</v>
      </c>
    </row>
    <row r="44" spans="2:11" ht="14.4" x14ac:dyDescent="0.3">
      <c r="B44" s="83"/>
      <c r="C44" s="12" t="s">
        <v>13</v>
      </c>
      <c r="D44" s="15"/>
      <c r="E44" s="15"/>
      <c r="F44" s="15"/>
      <c r="G44" s="15"/>
      <c r="H44" s="15"/>
      <c r="I44" s="224"/>
    </row>
    <row r="45" spans="2:11" ht="14.4" x14ac:dyDescent="0.3">
      <c r="B45" s="85">
        <v>44044</v>
      </c>
      <c r="C45" s="15">
        <v>1500000</v>
      </c>
      <c r="D45" s="17">
        <f>+B45</f>
        <v>44044</v>
      </c>
      <c r="E45" s="17">
        <v>44377</v>
      </c>
      <c r="F45" s="56">
        <f>E45-D45</f>
        <v>333</v>
      </c>
      <c r="G45" s="221">
        <v>0.18</v>
      </c>
      <c r="H45" s="54">
        <f>C45*F45*G45/365</f>
        <v>246328.76712328766</v>
      </c>
      <c r="I45" s="222">
        <f>+C45+H45</f>
        <v>1746328.7671232875</v>
      </c>
    </row>
    <row r="46" spans="2:11" ht="14.4" x14ac:dyDescent="0.3">
      <c r="B46" s="87"/>
      <c r="C46" s="54"/>
      <c r="D46" s="17"/>
      <c r="E46" s="17"/>
      <c r="F46" s="56"/>
      <c r="G46" s="221"/>
      <c r="H46" s="40">
        <f>+SUM(H45:H45)</f>
        <v>246328.76712328766</v>
      </c>
      <c r="I46" s="222"/>
    </row>
    <row r="47" spans="2:11" ht="14.4" x14ac:dyDescent="0.3">
      <c r="B47" s="87"/>
      <c r="C47" s="40">
        <f>SUM(C45:C46)</f>
        <v>1500000</v>
      </c>
      <c r="D47" s="17"/>
      <c r="E47" s="17"/>
      <c r="F47" s="16"/>
      <c r="G47" s="221"/>
      <c r="H47" s="40"/>
      <c r="I47" s="222"/>
    </row>
    <row r="48" spans="2:11" ht="14.4" x14ac:dyDescent="0.3">
      <c r="B48" s="85"/>
      <c r="C48" s="514" t="s">
        <v>42</v>
      </c>
      <c r="D48" s="515"/>
      <c r="E48" s="515"/>
      <c r="F48" s="515"/>
      <c r="G48" s="516"/>
      <c r="H48" s="40">
        <f>+H38-H46</f>
        <v>2204848.2529017865</v>
      </c>
      <c r="I48" s="222"/>
    </row>
    <row r="49" spans="2:10" ht="14.4" x14ac:dyDescent="0.3">
      <c r="B49" s="85"/>
      <c r="C49" s="514" t="s">
        <v>43</v>
      </c>
      <c r="D49" s="515"/>
      <c r="E49" s="515"/>
      <c r="F49" s="515"/>
      <c r="G49" s="516"/>
      <c r="H49" s="40">
        <v>0</v>
      </c>
      <c r="I49" s="222"/>
    </row>
    <row r="50" spans="2:10" ht="15" thickBot="1" x14ac:dyDescent="0.35">
      <c r="B50" s="108"/>
      <c r="C50" s="517" t="s">
        <v>58</v>
      </c>
      <c r="D50" s="518"/>
      <c r="E50" s="518"/>
      <c r="F50" s="518"/>
      <c r="G50" s="519"/>
      <c r="H50" s="290">
        <f>SUM(H48:H49)</f>
        <v>2204848.2529017865</v>
      </c>
      <c r="I50" s="319"/>
    </row>
    <row r="54" spans="2:10" ht="14.4" x14ac:dyDescent="0.3">
      <c r="B54" s="16"/>
      <c r="C54" s="54">
        <v>1000000</v>
      </c>
      <c r="D54" s="17">
        <v>42177</v>
      </c>
      <c r="E54" s="17">
        <v>42379</v>
      </c>
      <c r="F54" s="16">
        <f t="shared" ref="F54:F55" si="7">+E54-D54</f>
        <v>202</v>
      </c>
      <c r="G54" s="221">
        <v>0.24</v>
      </c>
      <c r="H54" s="54">
        <f t="shared" ref="H54:H55" si="8">C54*F54*G54/365</f>
        <v>132821.91780821918</v>
      </c>
      <c r="I54" s="54">
        <f t="shared" ref="I54:I55" si="9">+C54+H54</f>
        <v>1132821.9178082191</v>
      </c>
      <c r="J54" s="14"/>
    </row>
    <row r="55" spans="2:10" ht="14.4" x14ac:dyDescent="0.3">
      <c r="B55" s="16"/>
      <c r="C55" s="54">
        <v>500000</v>
      </c>
      <c r="D55" s="17">
        <f>+E54</f>
        <v>42379</v>
      </c>
      <c r="E55" s="17">
        <v>42401</v>
      </c>
      <c r="F55" s="16">
        <f t="shared" si="7"/>
        <v>22</v>
      </c>
      <c r="G55" s="221">
        <v>0.24</v>
      </c>
      <c r="H55" s="54">
        <f t="shared" si="8"/>
        <v>7232.8767123287671</v>
      </c>
      <c r="I55" s="40">
        <f t="shared" si="9"/>
        <v>507232.87671232875</v>
      </c>
      <c r="J55" s="11"/>
    </row>
    <row r="57" spans="2:10" ht="14.4" x14ac:dyDescent="0.3">
      <c r="H57" s="297">
        <f>+H54-H55</f>
        <v>125589.04109589041</v>
      </c>
    </row>
    <row r="66" spans="2:9" ht="14.4" x14ac:dyDescent="0.3">
      <c r="B66" s="553" t="s">
        <v>247</v>
      </c>
      <c r="C66" s="553"/>
      <c r="D66" s="553"/>
      <c r="E66" s="553"/>
      <c r="F66" s="553"/>
      <c r="G66" s="553"/>
      <c r="H66" s="553"/>
      <c r="I66" s="553"/>
    </row>
    <row r="69" spans="2:9" ht="18" x14ac:dyDescent="0.35">
      <c r="B69" s="542" t="s">
        <v>263</v>
      </c>
      <c r="C69" s="542"/>
      <c r="D69" s="542"/>
      <c r="E69" s="542"/>
      <c r="F69" s="542"/>
      <c r="G69" s="542"/>
      <c r="H69" s="542"/>
      <c r="I69" s="542"/>
    </row>
    <row r="70" spans="2:9" ht="18.649999999999999" thickBot="1" x14ac:dyDescent="0.4">
      <c r="B70" s="542" t="s">
        <v>265</v>
      </c>
      <c r="C70" s="542"/>
      <c r="D70" s="542"/>
      <c r="E70" s="542"/>
      <c r="F70" s="542"/>
      <c r="G70" s="542"/>
      <c r="H70" s="542"/>
      <c r="I70" s="542"/>
    </row>
    <row r="71" spans="2:9" ht="29.4" thickBot="1" x14ac:dyDescent="0.35">
      <c r="B71" s="301" t="s">
        <v>1</v>
      </c>
      <c r="C71" s="302" t="s">
        <v>7</v>
      </c>
      <c r="D71" s="302" t="s">
        <v>2</v>
      </c>
      <c r="E71" s="302" t="s">
        <v>3</v>
      </c>
      <c r="F71" s="302" t="s">
        <v>4</v>
      </c>
      <c r="G71" s="302" t="s">
        <v>24</v>
      </c>
      <c r="H71" s="302" t="s">
        <v>6</v>
      </c>
      <c r="I71" s="303" t="s">
        <v>33</v>
      </c>
    </row>
    <row r="72" spans="2:9" ht="14.4" x14ac:dyDescent="0.3">
      <c r="B72" s="309"/>
      <c r="C72" s="310" t="s">
        <v>8</v>
      </c>
      <c r="D72" s="320"/>
      <c r="E72" s="320"/>
      <c r="F72" s="320"/>
      <c r="G72" s="320"/>
      <c r="H72" s="320"/>
      <c r="I72" s="321"/>
    </row>
    <row r="73" spans="2:9" ht="14.4" x14ac:dyDescent="0.3">
      <c r="B73" s="298" t="s">
        <v>255</v>
      </c>
      <c r="C73" s="54">
        <v>1500000</v>
      </c>
      <c r="D73" s="17">
        <v>42245</v>
      </c>
      <c r="E73" s="17">
        <v>42610</v>
      </c>
      <c r="F73" s="54">
        <f t="shared" ref="F73:F81" si="10">+E73-D73</f>
        <v>365</v>
      </c>
      <c r="G73" s="45">
        <v>0.18</v>
      </c>
      <c r="H73" s="54">
        <f>C73*F73*G73/365</f>
        <v>270000</v>
      </c>
      <c r="I73" s="222">
        <f>+C73+H73</f>
        <v>1770000</v>
      </c>
    </row>
    <row r="74" spans="2:9" ht="14.4" x14ac:dyDescent="0.3">
      <c r="B74" s="299"/>
      <c r="C74" s="54"/>
      <c r="D74" s="17">
        <f>+E73</f>
        <v>42610</v>
      </c>
      <c r="E74" s="17">
        <v>42975</v>
      </c>
      <c r="F74" s="54">
        <f t="shared" si="10"/>
        <v>365</v>
      </c>
      <c r="G74" s="45">
        <v>0.18</v>
      </c>
      <c r="H74" s="54">
        <f>I73*G74</f>
        <v>318600</v>
      </c>
      <c r="I74" s="222">
        <f>I73+H74</f>
        <v>2088600</v>
      </c>
    </row>
    <row r="75" spans="2:9" ht="14.4" x14ac:dyDescent="0.3">
      <c r="B75" s="299"/>
      <c r="C75" s="54"/>
      <c r="D75" s="17">
        <f t="shared" ref="D75:D77" si="11">+E74</f>
        <v>42975</v>
      </c>
      <c r="E75" s="17">
        <v>43340</v>
      </c>
      <c r="F75" s="54">
        <f t="shared" si="10"/>
        <v>365</v>
      </c>
      <c r="G75" s="45">
        <v>0.18</v>
      </c>
      <c r="H75" s="54">
        <f>I74*G75</f>
        <v>375948</v>
      </c>
      <c r="I75" s="222">
        <f>I74+H75</f>
        <v>2464548</v>
      </c>
    </row>
    <row r="76" spans="2:9" ht="14.4" x14ac:dyDescent="0.3">
      <c r="B76" s="299"/>
      <c r="C76" s="54"/>
      <c r="D76" s="17">
        <f t="shared" si="11"/>
        <v>43340</v>
      </c>
      <c r="E76" s="17">
        <v>43705</v>
      </c>
      <c r="F76" s="54">
        <f t="shared" si="10"/>
        <v>365</v>
      </c>
      <c r="G76" s="45">
        <v>0.18</v>
      </c>
      <c r="H76" s="54">
        <f>I75*G76</f>
        <v>443618.63999999996</v>
      </c>
      <c r="I76" s="222">
        <f>I75+H76</f>
        <v>2908166.64</v>
      </c>
    </row>
    <row r="77" spans="2:9" ht="14.4" x14ac:dyDescent="0.3">
      <c r="B77" s="299"/>
      <c r="C77" s="54"/>
      <c r="D77" s="17">
        <f t="shared" si="11"/>
        <v>43705</v>
      </c>
      <c r="E77" s="17">
        <v>44070</v>
      </c>
      <c r="F77" s="54">
        <f t="shared" si="10"/>
        <v>365</v>
      </c>
      <c r="G77" s="45">
        <v>0.18</v>
      </c>
      <c r="H77" s="54">
        <f>I76*G77*F77/365</f>
        <v>523469.9952</v>
      </c>
      <c r="I77" s="222">
        <f>I76+H77</f>
        <v>3431636.6352000004</v>
      </c>
    </row>
    <row r="78" spans="2:9" ht="14.4" x14ac:dyDescent="0.3">
      <c r="B78" s="299"/>
      <c r="C78" s="54"/>
      <c r="D78" s="17">
        <f>+E77</f>
        <v>44070</v>
      </c>
      <c r="E78" s="17">
        <v>44435</v>
      </c>
      <c r="F78" s="54">
        <f t="shared" si="10"/>
        <v>365</v>
      </c>
      <c r="G78" s="45">
        <v>0.18</v>
      </c>
      <c r="H78" s="54">
        <f>I77*G78*F78/365</f>
        <v>617694.59433600004</v>
      </c>
      <c r="I78" s="222">
        <f>I77+H78</f>
        <v>4049331.2295360006</v>
      </c>
    </row>
    <row r="79" spans="2:9" ht="14.4" x14ac:dyDescent="0.3">
      <c r="B79" s="299"/>
      <c r="C79" s="54"/>
      <c r="D79" s="17">
        <f>+E78</f>
        <v>44435</v>
      </c>
      <c r="E79" s="17">
        <v>44800</v>
      </c>
      <c r="F79" s="54">
        <f t="shared" si="10"/>
        <v>365</v>
      </c>
      <c r="G79" s="45">
        <v>0.18</v>
      </c>
      <c r="H79" s="54">
        <f t="shared" ref="H79:H81" si="12">I78*G79*F79/365</f>
        <v>728879.6213164801</v>
      </c>
      <c r="I79" s="222">
        <f t="shared" ref="I79:I81" si="13">I78+H79</f>
        <v>4778210.8508524811</v>
      </c>
    </row>
    <row r="80" spans="2:9" ht="14.4" x14ac:dyDescent="0.3">
      <c r="B80" s="299"/>
      <c r="C80" s="54"/>
      <c r="D80" s="17">
        <f>+E79</f>
        <v>44800</v>
      </c>
      <c r="E80" s="17">
        <v>45165</v>
      </c>
      <c r="F80" s="54">
        <f t="shared" si="10"/>
        <v>365</v>
      </c>
      <c r="G80" s="45">
        <v>0.18</v>
      </c>
      <c r="H80" s="54">
        <f t="shared" si="12"/>
        <v>860077.95315344655</v>
      </c>
      <c r="I80" s="222">
        <f t="shared" si="13"/>
        <v>5638288.8040059274</v>
      </c>
    </row>
    <row r="81" spans="2:9" ht="14.4" x14ac:dyDescent="0.3">
      <c r="B81" s="299"/>
      <c r="C81" s="54"/>
      <c r="D81" s="17">
        <f>+E80</f>
        <v>45165</v>
      </c>
      <c r="E81" s="17">
        <v>45402</v>
      </c>
      <c r="F81" s="54">
        <f t="shared" si="10"/>
        <v>237</v>
      </c>
      <c r="G81" s="45">
        <v>0.18</v>
      </c>
      <c r="H81" s="54">
        <f t="shared" si="12"/>
        <v>658984.65857230918</v>
      </c>
      <c r="I81" s="222">
        <f t="shared" si="13"/>
        <v>6297273.4625782371</v>
      </c>
    </row>
    <row r="82" spans="2:9" ht="14.4" x14ac:dyDescent="0.3">
      <c r="B82" s="299"/>
      <c r="C82" s="54"/>
      <c r="D82" s="17"/>
      <c r="E82" s="17"/>
      <c r="F82" s="54"/>
      <c r="G82" s="45"/>
      <c r="H82" s="54"/>
      <c r="I82" s="222"/>
    </row>
    <row r="83" spans="2:9" s="304" customFormat="1" ht="16.25" thickBot="1" x14ac:dyDescent="0.35">
      <c r="B83" s="311" t="s">
        <v>57</v>
      </c>
      <c r="C83" s="312">
        <f>+SUM(C73:C82)</f>
        <v>1500000</v>
      </c>
      <c r="D83" s="554" t="s">
        <v>253</v>
      </c>
      <c r="E83" s="554"/>
      <c r="F83" s="554"/>
      <c r="G83" s="554"/>
      <c r="H83" s="312">
        <f>SUM(H73:H82)</f>
        <v>4797273.4625782352</v>
      </c>
      <c r="I83" s="322"/>
    </row>
    <row r="84" spans="2:9" s="304" customFormat="1" ht="16.25" thickBot="1" x14ac:dyDescent="0.35">
      <c r="B84" s="305"/>
      <c r="C84" s="315"/>
      <c r="D84" s="556" t="s">
        <v>249</v>
      </c>
      <c r="E84" s="556"/>
      <c r="F84" s="556"/>
      <c r="G84" s="556"/>
      <c r="H84" s="274">
        <f>+H83+C73</f>
        <v>6297273.4625782352</v>
      </c>
      <c r="I84" s="323"/>
    </row>
    <row r="85" spans="2:9" ht="14.4" x14ac:dyDescent="0.3">
      <c r="B85"/>
    </row>
    <row r="86" spans="2:9" ht="18.649999999999999" thickBot="1" x14ac:dyDescent="0.4">
      <c r="B86" s="542" t="s">
        <v>264</v>
      </c>
      <c r="C86" s="542"/>
      <c r="D86" s="542"/>
      <c r="E86" s="542"/>
      <c r="F86" s="542"/>
      <c r="G86" s="542"/>
      <c r="H86" s="542"/>
      <c r="I86" s="542"/>
    </row>
    <row r="87" spans="2:9" s="254" customFormat="1" ht="29.4" thickBot="1" x14ac:dyDescent="0.35">
      <c r="B87" s="306" t="s">
        <v>1</v>
      </c>
      <c r="C87" s="307" t="s">
        <v>7</v>
      </c>
      <c r="D87" s="307" t="s">
        <v>2</v>
      </c>
      <c r="E87" s="307" t="s">
        <v>3</v>
      </c>
      <c r="F87" s="307" t="s">
        <v>4</v>
      </c>
      <c r="G87" s="307" t="s">
        <v>24</v>
      </c>
      <c r="H87" s="307" t="s">
        <v>6</v>
      </c>
      <c r="I87" s="308" t="s">
        <v>25</v>
      </c>
    </row>
    <row r="88" spans="2:9" ht="14.4" x14ac:dyDescent="0.3">
      <c r="B88" s="309"/>
      <c r="C88" s="310" t="s">
        <v>21</v>
      </c>
      <c r="D88" s="320"/>
      <c r="E88" s="320"/>
      <c r="F88" s="320"/>
      <c r="G88" s="320"/>
      <c r="H88" s="320"/>
      <c r="I88" s="321"/>
    </row>
    <row r="89" spans="2:9" ht="14.4" x14ac:dyDescent="0.3">
      <c r="B89" s="85" t="s">
        <v>248</v>
      </c>
      <c r="C89" s="15">
        <v>1500000</v>
      </c>
      <c r="D89" s="17">
        <v>44044</v>
      </c>
      <c r="E89" s="17">
        <v>44409</v>
      </c>
      <c r="F89" s="56">
        <f>E89-D89</f>
        <v>365</v>
      </c>
      <c r="G89" s="221">
        <v>0.18</v>
      </c>
      <c r="H89" s="54">
        <f>C89*F89*G89/365</f>
        <v>270000</v>
      </c>
      <c r="I89" s="222">
        <f>+C89+H89</f>
        <v>1770000</v>
      </c>
    </row>
    <row r="90" spans="2:9" ht="14.4" x14ac:dyDescent="0.3">
      <c r="B90" s="85"/>
      <c r="C90" s="15"/>
      <c r="D90" s="17">
        <f>+E89</f>
        <v>44409</v>
      </c>
      <c r="E90" s="17">
        <v>44774</v>
      </c>
      <c r="F90" s="56">
        <f t="shared" ref="F90:F92" si="14">E90-D90</f>
        <v>365</v>
      </c>
      <c r="G90" s="221">
        <v>0.18</v>
      </c>
      <c r="H90" s="54">
        <f>I89*F90*G90/365</f>
        <v>318600</v>
      </c>
      <c r="I90" s="222">
        <f>+I89+H90</f>
        <v>2088600</v>
      </c>
    </row>
    <row r="91" spans="2:9" ht="14.4" x14ac:dyDescent="0.3">
      <c r="B91" s="85"/>
      <c r="C91" s="15"/>
      <c r="D91" s="17">
        <f>+E90</f>
        <v>44774</v>
      </c>
      <c r="E91" s="17">
        <v>45139</v>
      </c>
      <c r="F91" s="56">
        <f t="shared" si="14"/>
        <v>365</v>
      </c>
      <c r="G91" s="221">
        <v>0.18</v>
      </c>
      <c r="H91" s="54">
        <f>I90*F91*G91/365</f>
        <v>375948</v>
      </c>
      <c r="I91" s="222">
        <f>+I90+H91</f>
        <v>2464548</v>
      </c>
    </row>
    <row r="92" spans="2:9" ht="14.4" x14ac:dyDescent="0.3">
      <c r="B92" s="85"/>
      <c r="C92" s="15"/>
      <c r="D92" s="17">
        <f>+E91</f>
        <v>45139</v>
      </c>
      <c r="E92" s="17">
        <v>45402</v>
      </c>
      <c r="F92" s="56">
        <f t="shared" si="14"/>
        <v>263</v>
      </c>
      <c r="G92" s="221">
        <v>0.18</v>
      </c>
      <c r="H92" s="54">
        <f>I91*F92*G92/365</f>
        <v>319648.49950684927</v>
      </c>
      <c r="I92" s="222">
        <f>+I91+H92</f>
        <v>2784196.4995068493</v>
      </c>
    </row>
    <row r="93" spans="2:9" ht="14.4" x14ac:dyDescent="0.3">
      <c r="B93" s="87"/>
      <c r="C93" s="40"/>
      <c r="D93" s="17"/>
      <c r="E93" s="17"/>
      <c r="F93" s="16"/>
      <c r="G93" s="221"/>
      <c r="H93" s="40"/>
      <c r="I93" s="222"/>
    </row>
    <row r="94" spans="2:9" s="9" customFormat="1" ht="14.4" x14ac:dyDescent="0.3">
      <c r="B94" s="126" t="s">
        <v>57</v>
      </c>
      <c r="C94" s="12">
        <f>SUM(C89:C93)</f>
        <v>1500000</v>
      </c>
      <c r="D94" s="543" t="s">
        <v>254</v>
      </c>
      <c r="E94" s="543"/>
      <c r="F94" s="543"/>
      <c r="G94" s="543"/>
      <c r="H94" s="40">
        <f>SUM(H89:H93)</f>
        <v>1284196.4995068493</v>
      </c>
      <c r="I94" s="223"/>
    </row>
    <row r="95" spans="2:9" s="9" customFormat="1" ht="15" thickBot="1" x14ac:dyDescent="0.35">
      <c r="B95" s="314"/>
      <c r="C95" s="294"/>
      <c r="D95" s="555" t="s">
        <v>250</v>
      </c>
      <c r="E95" s="555"/>
      <c r="F95" s="555"/>
      <c r="G95" s="555"/>
      <c r="H95" s="324">
        <f>+H94+C94</f>
        <v>2784196.4995068493</v>
      </c>
      <c r="I95" s="325"/>
    </row>
    <row r="96" spans="2:9" s="304" customFormat="1" ht="16.25" thickBot="1" x14ac:dyDescent="0.35">
      <c r="B96" s="313"/>
      <c r="C96" s="550" t="s">
        <v>252</v>
      </c>
      <c r="D96" s="551"/>
      <c r="E96" s="551"/>
      <c r="F96" s="551"/>
      <c r="G96" s="552"/>
      <c r="H96" s="326">
        <f>+H84-H95</f>
        <v>3513076.9630713859</v>
      </c>
      <c r="I96" s="327"/>
    </row>
    <row r="98" spans="3:7" ht="15" thickBot="1" x14ac:dyDescent="0.35">
      <c r="C98" s="548" t="s">
        <v>15</v>
      </c>
      <c r="D98" s="548"/>
      <c r="E98" s="548"/>
      <c r="F98" s="548"/>
      <c r="G98" s="548"/>
    </row>
    <row r="99" spans="3:7" ht="16.25" thickBot="1" x14ac:dyDescent="0.35">
      <c r="C99" s="295" t="s">
        <v>1</v>
      </c>
      <c r="D99" s="549" t="s">
        <v>256</v>
      </c>
      <c r="E99" s="549"/>
      <c r="F99" s="549"/>
      <c r="G99" s="296" t="s">
        <v>7</v>
      </c>
    </row>
    <row r="100" spans="3:7" ht="14.4" x14ac:dyDescent="0.3">
      <c r="C100" s="300" t="s">
        <v>255</v>
      </c>
      <c r="D100" s="546" t="s">
        <v>257</v>
      </c>
      <c r="E100" s="546"/>
      <c r="F100" s="546"/>
      <c r="G100" s="328">
        <v>1500000</v>
      </c>
    </row>
    <row r="101" spans="3:7" ht="14.4" x14ac:dyDescent="0.3">
      <c r="C101" s="83" t="s">
        <v>258</v>
      </c>
      <c r="D101" s="547" t="s">
        <v>260</v>
      </c>
      <c r="E101" s="547"/>
      <c r="F101" s="547"/>
      <c r="G101" s="222">
        <f>+H83</f>
        <v>4797273.4625782352</v>
      </c>
    </row>
    <row r="102" spans="3:7" ht="15" thickBot="1" x14ac:dyDescent="0.35">
      <c r="C102" s="179"/>
      <c r="D102" s="545"/>
      <c r="E102" s="545"/>
      <c r="F102" s="545"/>
      <c r="G102" s="329"/>
    </row>
    <row r="103" spans="3:7" ht="15" thickBot="1" x14ac:dyDescent="0.35">
      <c r="C103" s="123"/>
      <c r="D103" s="525" t="s">
        <v>262</v>
      </c>
      <c r="E103" s="525"/>
      <c r="F103" s="525"/>
      <c r="G103" s="330">
        <f>+G100+G101</f>
        <v>6297273.4625782352</v>
      </c>
    </row>
    <row r="104" spans="3:7" ht="14.4" x14ac:dyDescent="0.3">
      <c r="C104" s="300"/>
      <c r="D104" s="546"/>
      <c r="E104" s="546"/>
      <c r="F104" s="546"/>
      <c r="G104" s="328"/>
    </row>
    <row r="105" spans="3:7" ht="14.4" x14ac:dyDescent="0.3">
      <c r="C105" s="83" t="s">
        <v>248</v>
      </c>
      <c r="D105" s="547" t="s">
        <v>167</v>
      </c>
      <c r="E105" s="547"/>
      <c r="F105" s="547"/>
      <c r="G105" s="224">
        <v>1500000</v>
      </c>
    </row>
    <row r="106" spans="3:7" ht="14.4" x14ac:dyDescent="0.3">
      <c r="C106" s="83" t="s">
        <v>258</v>
      </c>
      <c r="D106" s="547" t="s">
        <v>259</v>
      </c>
      <c r="E106" s="547"/>
      <c r="F106" s="547"/>
      <c r="G106" s="222">
        <f>+H94</f>
        <v>1284196.4995068493</v>
      </c>
    </row>
    <row r="107" spans="3:7" ht="15" thickBot="1" x14ac:dyDescent="0.4">
      <c r="C107" s="179"/>
      <c r="D107" s="545"/>
      <c r="E107" s="545"/>
      <c r="F107" s="545"/>
      <c r="G107" s="329"/>
    </row>
    <row r="108" spans="3:7" ht="15" thickBot="1" x14ac:dyDescent="0.4">
      <c r="C108" s="123"/>
      <c r="D108" s="525" t="s">
        <v>261</v>
      </c>
      <c r="E108" s="525"/>
      <c r="F108" s="525"/>
      <c r="G108" s="330">
        <f>+G105+G106</f>
        <v>2784196.4995068493</v>
      </c>
    </row>
    <row r="109" spans="3:7" ht="15" thickBot="1" x14ac:dyDescent="0.4">
      <c r="C109" s="316"/>
      <c r="D109" s="534"/>
      <c r="E109" s="534"/>
      <c r="F109" s="534"/>
      <c r="G109" s="331"/>
    </row>
    <row r="110" spans="3:7" ht="16" thickBot="1" x14ac:dyDescent="0.4">
      <c r="C110" s="317"/>
      <c r="D110" s="544" t="s">
        <v>251</v>
      </c>
      <c r="E110" s="544"/>
      <c r="F110" s="544"/>
      <c r="G110" s="332">
        <f>+G103-G108</f>
        <v>3513076.9630713859</v>
      </c>
    </row>
  </sheetData>
  <mergeCells count="39">
    <mergeCell ref="C48:G48"/>
    <mergeCell ref="C49:G49"/>
    <mergeCell ref="C50:G50"/>
    <mergeCell ref="C38:G38"/>
    <mergeCell ref="C39:G39"/>
    <mergeCell ref="B42:I42"/>
    <mergeCell ref="B28:I28"/>
    <mergeCell ref="B29:I29"/>
    <mergeCell ref="B2:I2"/>
    <mergeCell ref="C23:G23"/>
    <mergeCell ref="C24:G24"/>
    <mergeCell ref="C25:G25"/>
    <mergeCell ref="C11:G11"/>
    <mergeCell ref="C12:G12"/>
    <mergeCell ref="C13:G13"/>
    <mergeCell ref="B16:I16"/>
    <mergeCell ref="B3:I3"/>
    <mergeCell ref="B66:I66"/>
    <mergeCell ref="D83:G83"/>
    <mergeCell ref="D94:G94"/>
    <mergeCell ref="D95:G95"/>
    <mergeCell ref="D84:G84"/>
    <mergeCell ref="B69:I69"/>
    <mergeCell ref="B86:I86"/>
    <mergeCell ref="D109:F109"/>
    <mergeCell ref="D110:F110"/>
    <mergeCell ref="D108:F108"/>
    <mergeCell ref="D107:F107"/>
    <mergeCell ref="B70:I70"/>
    <mergeCell ref="D102:F102"/>
    <mergeCell ref="D103:F103"/>
    <mergeCell ref="D104:F104"/>
    <mergeCell ref="D105:F105"/>
    <mergeCell ref="D106:F106"/>
    <mergeCell ref="D100:F100"/>
    <mergeCell ref="D101:F101"/>
    <mergeCell ref="C98:G98"/>
    <mergeCell ref="D99:F99"/>
    <mergeCell ref="C96:G96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topLeftCell="A83" workbookViewId="0">
      <selection activeCell="D95" sqref="D95"/>
    </sheetView>
  </sheetViews>
  <sheetFormatPr defaultRowHeight="14.5" x14ac:dyDescent="0.35"/>
  <cols>
    <col min="1" max="1" width="10.6328125" style="6" bestFit="1" customWidth="1"/>
    <col min="2" max="2" width="15.36328125" bestFit="1" customWidth="1"/>
    <col min="3" max="3" width="10.54296875" customWidth="1"/>
    <col min="4" max="4" width="10.90625" customWidth="1"/>
    <col min="7" max="7" width="15.6328125" bestFit="1" customWidth="1"/>
    <col min="8" max="8" width="12" bestFit="1" customWidth="1"/>
  </cols>
  <sheetData>
    <row r="1" spans="1:8" ht="14.4" x14ac:dyDescent="0.3">
      <c r="A1"/>
    </row>
    <row r="2" spans="1:8" ht="18" x14ac:dyDescent="0.35">
      <c r="A2" s="542" t="s">
        <v>34</v>
      </c>
      <c r="B2" s="542"/>
      <c r="C2" s="542"/>
      <c r="D2" s="542"/>
      <c r="E2" s="542"/>
      <c r="F2" s="542"/>
      <c r="G2" s="542"/>
      <c r="H2" s="542"/>
    </row>
    <row r="4" spans="1:8" ht="21" x14ac:dyDescent="0.4">
      <c r="A4" s="520" t="s">
        <v>8</v>
      </c>
      <c r="B4" s="521"/>
      <c r="C4" s="521"/>
      <c r="D4" s="521"/>
      <c r="E4" s="521"/>
      <c r="F4" s="521"/>
      <c r="G4" s="521"/>
      <c r="H4" s="522"/>
    </row>
    <row r="5" spans="1:8" s="10" customFormat="1" ht="14.4" x14ac:dyDescent="0.3">
      <c r="A5" s="12" t="s">
        <v>1</v>
      </c>
      <c r="B5" s="12" t="s">
        <v>7</v>
      </c>
      <c r="C5" s="12" t="s">
        <v>2</v>
      </c>
      <c r="D5" s="12" t="s">
        <v>3</v>
      </c>
      <c r="E5" s="12" t="s">
        <v>4</v>
      </c>
      <c r="F5" s="12" t="s">
        <v>24</v>
      </c>
      <c r="G5" s="12" t="s">
        <v>6</v>
      </c>
      <c r="H5" s="12" t="s">
        <v>25</v>
      </c>
    </row>
    <row r="6" spans="1:8" ht="14.4" x14ac:dyDescent="0.3">
      <c r="A6" s="64">
        <v>42687</v>
      </c>
      <c r="B6" s="1">
        <v>2500000</v>
      </c>
      <c r="C6" s="2">
        <v>42687</v>
      </c>
      <c r="D6" s="2">
        <v>43052</v>
      </c>
      <c r="E6" s="3">
        <f>+D6-C6</f>
        <v>365</v>
      </c>
      <c r="F6" s="4">
        <v>0.18</v>
      </c>
      <c r="G6" s="5">
        <f>B6*E6*F6/365</f>
        <v>450000</v>
      </c>
      <c r="H6" s="5">
        <f>+B6+G6</f>
        <v>2950000</v>
      </c>
    </row>
    <row r="7" spans="1:8" ht="14.4" x14ac:dyDescent="0.3">
      <c r="A7" s="16"/>
      <c r="B7" s="5">
        <f>+H6</f>
        <v>2950000</v>
      </c>
      <c r="C7" s="2">
        <f>+D6</f>
        <v>43052</v>
      </c>
      <c r="D7" s="2">
        <v>43417</v>
      </c>
      <c r="E7" s="3">
        <f t="shared" ref="E7:E8" si="0">+D7-C7</f>
        <v>365</v>
      </c>
      <c r="F7" s="4">
        <v>0.18</v>
      </c>
      <c r="G7" s="5">
        <f>B7*E7*F7/365</f>
        <v>531000</v>
      </c>
      <c r="H7" s="5">
        <f t="shared" ref="H7:H8" si="1">+B7+G7</f>
        <v>3481000</v>
      </c>
    </row>
    <row r="8" spans="1:8" ht="14.4" x14ac:dyDescent="0.3">
      <c r="A8" s="16"/>
      <c r="B8" s="5">
        <f>+H7</f>
        <v>3481000</v>
      </c>
      <c r="C8" s="2">
        <f>+D7</f>
        <v>43417</v>
      </c>
      <c r="D8" s="2">
        <v>43781</v>
      </c>
      <c r="E8" s="3">
        <f t="shared" si="0"/>
        <v>364</v>
      </c>
      <c r="F8" s="4">
        <v>0.18</v>
      </c>
      <c r="G8" s="5">
        <f t="shared" ref="G8" si="2">B8*E8*F8/365</f>
        <v>624863.34246575343</v>
      </c>
      <c r="H8" s="5">
        <f t="shared" si="1"/>
        <v>4105863.3424657537</v>
      </c>
    </row>
    <row r="9" spans="1:8" ht="14.4" x14ac:dyDescent="0.3">
      <c r="A9" s="16"/>
      <c r="B9" s="5">
        <f>+H8</f>
        <v>4105863.3424657537</v>
      </c>
      <c r="C9" s="2">
        <f>+D8</f>
        <v>43781</v>
      </c>
      <c r="D9" s="2">
        <v>44100</v>
      </c>
      <c r="E9" s="3">
        <f t="shared" ref="E9" si="3">+D9-C9</f>
        <v>319</v>
      </c>
      <c r="F9" s="4">
        <v>0.18</v>
      </c>
      <c r="G9" s="5">
        <f t="shared" ref="G9" si="4">B9*E9*F9/365</f>
        <v>645914.17294351663</v>
      </c>
      <c r="H9" s="8">
        <f t="shared" ref="H9" si="5">+B9+G9</f>
        <v>4751777.5154092703</v>
      </c>
    </row>
    <row r="10" spans="1:8" ht="14.4" x14ac:dyDescent="0.3">
      <c r="A10" s="16"/>
      <c r="B10" s="5"/>
      <c r="C10" s="2"/>
      <c r="D10" s="2"/>
      <c r="E10" s="3"/>
      <c r="F10" s="4"/>
      <c r="G10" s="5"/>
      <c r="H10" s="5"/>
    </row>
    <row r="11" spans="1:8" ht="14.4" x14ac:dyDescent="0.3">
      <c r="A11" s="16"/>
      <c r="B11" s="8">
        <f>+B6</f>
        <v>2500000</v>
      </c>
      <c r="C11" s="528" t="s">
        <v>10</v>
      </c>
      <c r="D11" s="529"/>
      <c r="E11" s="529"/>
      <c r="F11" s="530"/>
      <c r="G11" s="55">
        <f>+SUM(G6:G10)</f>
        <v>2251777.5154092703</v>
      </c>
      <c r="H11" s="8">
        <f>+G11+B11</f>
        <v>4751777.5154092703</v>
      </c>
    </row>
    <row r="13" spans="1:8" ht="21" x14ac:dyDescent="0.4">
      <c r="A13" s="520" t="s">
        <v>21</v>
      </c>
      <c r="B13" s="521"/>
      <c r="C13" s="521"/>
      <c r="D13" s="521"/>
      <c r="E13" s="521"/>
      <c r="F13" s="521"/>
      <c r="G13" s="521"/>
      <c r="H13" s="522"/>
    </row>
    <row r="14" spans="1:8" s="6" customFormat="1" ht="14.4" x14ac:dyDescent="0.3">
      <c r="A14" s="12" t="s">
        <v>1</v>
      </c>
      <c r="B14" s="12" t="s">
        <v>7</v>
      </c>
      <c r="C14" s="12" t="s">
        <v>2</v>
      </c>
      <c r="D14" s="12" t="s">
        <v>3</v>
      </c>
      <c r="E14" s="12" t="s">
        <v>4</v>
      </c>
      <c r="F14" s="12" t="s">
        <v>5</v>
      </c>
      <c r="G14" s="12" t="s">
        <v>6</v>
      </c>
      <c r="H14" s="12"/>
    </row>
    <row r="15" spans="1:8" ht="14.4" x14ac:dyDescent="0.3">
      <c r="A15" s="63">
        <v>42803</v>
      </c>
      <c r="B15" s="7">
        <v>500000</v>
      </c>
      <c r="C15" s="2">
        <v>42803</v>
      </c>
      <c r="D15" s="2">
        <v>43168</v>
      </c>
      <c r="E15" s="3">
        <f t="shared" ref="E15:E22" si="6">+D15-C15</f>
        <v>365</v>
      </c>
      <c r="F15" s="4">
        <v>0.18</v>
      </c>
      <c r="G15" s="5">
        <f t="shared" ref="G15:G22" si="7">B15*E15*F15/365</f>
        <v>90000</v>
      </c>
      <c r="H15" s="5">
        <f>+B15+G15</f>
        <v>590000</v>
      </c>
    </row>
    <row r="16" spans="1:8" ht="14.4" x14ac:dyDescent="0.3">
      <c r="A16" s="17"/>
      <c r="B16" s="5">
        <f>+H15</f>
        <v>590000</v>
      </c>
      <c r="C16" s="2">
        <f>+D15</f>
        <v>43168</v>
      </c>
      <c r="D16" s="2">
        <v>43533</v>
      </c>
      <c r="E16" s="3">
        <f t="shared" si="6"/>
        <v>365</v>
      </c>
      <c r="F16" s="4">
        <v>0.18</v>
      </c>
      <c r="G16" s="5">
        <f t="shared" si="7"/>
        <v>106200</v>
      </c>
      <c r="H16" s="5">
        <f>+B16+G16</f>
        <v>696200</v>
      </c>
    </row>
    <row r="17" spans="1:8" ht="14.4" x14ac:dyDescent="0.3">
      <c r="A17" s="17"/>
      <c r="B17" s="5">
        <f>+H16</f>
        <v>696200</v>
      </c>
      <c r="C17" s="2">
        <f>+D16</f>
        <v>43533</v>
      </c>
      <c r="D17" s="2">
        <v>43898</v>
      </c>
      <c r="E17" s="3">
        <f t="shared" si="6"/>
        <v>365</v>
      </c>
      <c r="F17" s="4">
        <v>0.18</v>
      </c>
      <c r="G17" s="5">
        <f t="shared" si="7"/>
        <v>125316</v>
      </c>
      <c r="H17" s="5">
        <f>+B17+G17</f>
        <v>821516</v>
      </c>
    </row>
    <row r="18" spans="1:8" ht="14.4" x14ac:dyDescent="0.3">
      <c r="A18" s="17"/>
      <c r="B18" s="5">
        <f>+H17</f>
        <v>821516</v>
      </c>
      <c r="C18" s="2">
        <f>+D17</f>
        <v>43898</v>
      </c>
      <c r="D18" s="2">
        <v>44100</v>
      </c>
      <c r="E18" s="3">
        <f t="shared" si="6"/>
        <v>202</v>
      </c>
      <c r="F18" s="4">
        <v>0.18</v>
      </c>
      <c r="G18" s="5">
        <f t="shared" si="7"/>
        <v>81836.497972602738</v>
      </c>
      <c r="H18" s="55">
        <f>+B18+G18</f>
        <v>903352.49797260272</v>
      </c>
    </row>
    <row r="19" spans="1:8" ht="14.4" x14ac:dyDescent="0.3">
      <c r="A19" s="63">
        <v>43547</v>
      </c>
      <c r="B19" s="7">
        <v>1100000</v>
      </c>
      <c r="C19" s="2">
        <v>43547</v>
      </c>
      <c r="D19" s="2">
        <v>43912</v>
      </c>
      <c r="E19" s="3">
        <f t="shared" si="6"/>
        <v>365</v>
      </c>
      <c r="F19" s="4">
        <v>0.18</v>
      </c>
      <c r="G19" s="5">
        <f t="shared" si="7"/>
        <v>198000</v>
      </c>
      <c r="H19" s="5">
        <f t="shared" ref="H19:H21" si="8">+B19+G19</f>
        <v>1298000</v>
      </c>
    </row>
    <row r="20" spans="1:8" ht="14.4" x14ac:dyDescent="0.3">
      <c r="A20" s="63"/>
      <c r="B20" s="5">
        <f>+H19</f>
        <v>1298000</v>
      </c>
      <c r="C20" s="2">
        <f>+D19</f>
        <v>43912</v>
      </c>
      <c r="D20" s="2">
        <v>44100</v>
      </c>
      <c r="E20" s="3">
        <f t="shared" si="6"/>
        <v>188</v>
      </c>
      <c r="F20" s="4">
        <v>0.18</v>
      </c>
      <c r="G20" s="5">
        <f t="shared" si="7"/>
        <v>120340.60273972603</v>
      </c>
      <c r="H20" s="55">
        <f t="shared" ref="H20" si="9">+B20+G20</f>
        <v>1418340.602739726</v>
      </c>
    </row>
    <row r="21" spans="1:8" ht="14.4" x14ac:dyDescent="0.3">
      <c r="A21" s="63">
        <v>43728</v>
      </c>
      <c r="B21" s="7">
        <v>1000000</v>
      </c>
      <c r="C21" s="2">
        <v>43728</v>
      </c>
      <c r="D21" s="2">
        <v>44093</v>
      </c>
      <c r="E21" s="3">
        <f t="shared" si="6"/>
        <v>365</v>
      </c>
      <c r="F21" s="4">
        <v>0.18</v>
      </c>
      <c r="G21" s="5">
        <f t="shared" si="7"/>
        <v>180000</v>
      </c>
      <c r="H21" s="5">
        <f t="shared" si="8"/>
        <v>1180000</v>
      </c>
    </row>
    <row r="22" spans="1:8" ht="14.4" x14ac:dyDescent="0.3">
      <c r="A22" s="63"/>
      <c r="B22" s="5">
        <f>+H21</f>
        <v>1180000</v>
      </c>
      <c r="C22" s="2">
        <f>+D21</f>
        <v>44093</v>
      </c>
      <c r="D22" s="2">
        <v>44100</v>
      </c>
      <c r="E22" s="3">
        <f t="shared" si="6"/>
        <v>7</v>
      </c>
      <c r="F22" s="4">
        <v>0.18</v>
      </c>
      <c r="G22" s="5">
        <f t="shared" si="7"/>
        <v>4073.4246575342468</v>
      </c>
      <c r="H22" s="55">
        <f t="shared" ref="H22" si="10">+B22+G22</f>
        <v>1184073.4246575343</v>
      </c>
    </row>
    <row r="23" spans="1:8" ht="14.4" x14ac:dyDescent="0.3">
      <c r="A23" s="17"/>
      <c r="B23" s="1"/>
      <c r="C23" s="2"/>
      <c r="D23" s="2"/>
      <c r="E23" s="3"/>
      <c r="F23" s="4"/>
      <c r="G23" s="5"/>
      <c r="H23" s="5"/>
    </row>
    <row r="24" spans="1:8" ht="14.4" x14ac:dyDescent="0.3">
      <c r="A24" s="15"/>
      <c r="B24" s="8">
        <f>+B15+B19+B21</f>
        <v>2600000</v>
      </c>
      <c r="C24" s="528" t="s">
        <v>11</v>
      </c>
      <c r="D24" s="529"/>
      <c r="E24" s="529"/>
      <c r="F24" s="530"/>
      <c r="G24" s="55">
        <f>+SUM(G15:G23)</f>
        <v>905766.52536986303</v>
      </c>
      <c r="H24" s="8">
        <f>+B24+G24</f>
        <v>3505766.525369863</v>
      </c>
    </row>
    <row r="26" spans="1:8" ht="14.4" x14ac:dyDescent="0.3">
      <c r="A26" s="570" t="s">
        <v>15</v>
      </c>
      <c r="B26" s="570"/>
      <c r="C26" s="570"/>
      <c r="D26" s="570"/>
      <c r="E26" s="570"/>
      <c r="F26" s="570"/>
      <c r="G26" s="14"/>
    </row>
    <row r="27" spans="1:8" ht="14.4" x14ac:dyDescent="0.3">
      <c r="A27" s="12"/>
      <c r="B27" s="539"/>
      <c r="C27" s="540"/>
      <c r="D27" s="12" t="s">
        <v>8</v>
      </c>
      <c r="E27" s="543" t="s">
        <v>21</v>
      </c>
      <c r="F27" s="543"/>
    </row>
    <row r="28" spans="1:8" ht="14.4" x14ac:dyDescent="0.3">
      <c r="A28" s="17">
        <v>42687</v>
      </c>
      <c r="B28" s="566" t="s">
        <v>8</v>
      </c>
      <c r="C28" s="566"/>
      <c r="D28" s="15">
        <v>2500000</v>
      </c>
      <c r="E28" s="566"/>
      <c r="F28" s="566"/>
      <c r="G28" s="14"/>
    </row>
    <row r="29" spans="1:8" ht="14.4" x14ac:dyDescent="0.3">
      <c r="A29" s="15"/>
      <c r="B29" s="566" t="s">
        <v>28</v>
      </c>
      <c r="C29" s="566"/>
      <c r="D29" s="54">
        <f>+G11</f>
        <v>2251777.5154092703</v>
      </c>
      <c r="E29" s="566"/>
      <c r="F29" s="566"/>
    </row>
    <row r="30" spans="1:8" ht="14.4" x14ac:dyDescent="0.3">
      <c r="A30" s="15" t="s">
        <v>20</v>
      </c>
      <c r="B30" s="566"/>
      <c r="C30" s="566"/>
      <c r="D30" s="15"/>
      <c r="E30" s="566"/>
      <c r="F30" s="566"/>
    </row>
    <row r="31" spans="1:8" ht="14.4" x14ac:dyDescent="0.3">
      <c r="A31" s="17">
        <v>42803</v>
      </c>
      <c r="B31" s="566" t="s">
        <v>21</v>
      </c>
      <c r="C31" s="566"/>
      <c r="D31" s="15"/>
      <c r="E31" s="566">
        <f>+B15</f>
        <v>500000</v>
      </c>
      <c r="F31" s="566"/>
      <c r="H31" s="14"/>
    </row>
    <row r="32" spans="1:8" ht="14.4" x14ac:dyDescent="0.3">
      <c r="A32" s="17">
        <v>43547</v>
      </c>
      <c r="B32" s="566" t="s">
        <v>21</v>
      </c>
      <c r="C32" s="566"/>
      <c r="D32" s="15"/>
      <c r="E32" s="566">
        <f>+B19</f>
        <v>1100000</v>
      </c>
      <c r="F32" s="566"/>
    </row>
    <row r="33" spans="1:8" ht="14.4" x14ac:dyDescent="0.3">
      <c r="A33" s="17">
        <v>43728</v>
      </c>
      <c r="B33" s="566" t="s">
        <v>21</v>
      </c>
      <c r="C33" s="566"/>
      <c r="D33" s="15"/>
      <c r="E33" s="566">
        <f>+B21</f>
        <v>1000000</v>
      </c>
      <c r="F33" s="566"/>
    </row>
    <row r="34" spans="1:8" ht="14.4" x14ac:dyDescent="0.3">
      <c r="A34" s="17"/>
      <c r="B34" s="566" t="s">
        <v>28</v>
      </c>
      <c r="C34" s="566"/>
      <c r="D34" s="15"/>
      <c r="E34" s="568">
        <f>+G24</f>
        <v>905766.52536986303</v>
      </c>
      <c r="F34" s="568"/>
    </row>
    <row r="35" spans="1:8" ht="14.4" x14ac:dyDescent="0.3">
      <c r="A35" s="15"/>
      <c r="B35" s="566"/>
      <c r="C35" s="566"/>
      <c r="D35" s="15"/>
      <c r="E35" s="566"/>
      <c r="F35" s="566"/>
      <c r="G35" s="11"/>
    </row>
    <row r="36" spans="1:8" ht="14.4" x14ac:dyDescent="0.3">
      <c r="A36" s="15"/>
      <c r="B36" s="566" t="s">
        <v>22</v>
      </c>
      <c r="C36" s="566"/>
      <c r="D36" s="54">
        <f>+SUM(D28:D35)</f>
        <v>4751777.5154092703</v>
      </c>
      <c r="E36" s="568">
        <f>+SUM(E31:E35)</f>
        <v>3505766.525369863</v>
      </c>
      <c r="F36" s="568"/>
    </row>
    <row r="37" spans="1:8" ht="14.4" x14ac:dyDescent="0.3">
      <c r="A37" s="65"/>
      <c r="B37" s="567" t="s">
        <v>56</v>
      </c>
      <c r="C37" s="567"/>
      <c r="D37" s="66"/>
      <c r="E37" s="569">
        <f>+D36-E36</f>
        <v>1246010.9900394073</v>
      </c>
      <c r="F37" s="569"/>
    </row>
    <row r="39" spans="1:8" ht="14.4" x14ac:dyDescent="0.3">
      <c r="A39" s="571" t="s">
        <v>76</v>
      </c>
      <c r="B39" s="572"/>
      <c r="C39" s="572"/>
      <c r="D39" s="572"/>
      <c r="E39" s="572"/>
      <c r="F39" s="573"/>
    </row>
    <row r="40" spans="1:8" ht="14.4" x14ac:dyDescent="0.3">
      <c r="A40" s="17">
        <v>43188</v>
      </c>
      <c r="B40" s="564" t="s">
        <v>54</v>
      </c>
      <c r="C40" s="565"/>
      <c r="D40" s="1" t="s">
        <v>55</v>
      </c>
      <c r="E40" s="1"/>
      <c r="F40" s="1">
        <v>21532</v>
      </c>
    </row>
    <row r="41" spans="1:8" ht="14.4" x14ac:dyDescent="0.3">
      <c r="A41" s="17">
        <v>43167</v>
      </c>
      <c r="B41" s="1" t="s">
        <v>53</v>
      </c>
      <c r="C41" s="1"/>
      <c r="D41" s="1" t="s">
        <v>51</v>
      </c>
      <c r="E41" s="1"/>
      <c r="F41" s="1">
        <v>14375</v>
      </c>
    </row>
    <row r="42" spans="1:8" ht="14.4" x14ac:dyDescent="0.3">
      <c r="A42" s="17">
        <v>43675</v>
      </c>
      <c r="B42" s="1" t="s">
        <v>52</v>
      </c>
      <c r="C42" s="1"/>
      <c r="D42" s="1" t="s">
        <v>35</v>
      </c>
      <c r="E42" s="1"/>
      <c r="F42" s="1">
        <v>13114</v>
      </c>
      <c r="H42" s="14">
        <f>+E37-F44</f>
        <v>1196989.9900394073</v>
      </c>
    </row>
    <row r="43" spans="1:8" ht="14.4" x14ac:dyDescent="0.3">
      <c r="A43" s="514"/>
      <c r="B43" s="515"/>
      <c r="C43" s="515"/>
      <c r="D43" s="515"/>
      <c r="E43" s="515"/>
      <c r="F43" s="516"/>
    </row>
    <row r="44" spans="1:8" ht="14.4" x14ac:dyDescent="0.3">
      <c r="A44" s="539" t="s">
        <v>57</v>
      </c>
      <c r="B44" s="541"/>
      <c r="C44" s="541"/>
      <c r="D44" s="541"/>
      <c r="E44" s="540"/>
      <c r="F44" s="7">
        <f>SUM(F40:F43)</f>
        <v>49021</v>
      </c>
    </row>
    <row r="47" spans="1:8" ht="21" x14ac:dyDescent="0.4">
      <c r="A47" s="520" t="s">
        <v>95</v>
      </c>
      <c r="B47" s="521"/>
      <c r="C47" s="521"/>
      <c r="D47" s="521"/>
      <c r="E47" s="521"/>
      <c r="F47" s="521"/>
      <c r="G47" s="521"/>
      <c r="H47" s="522"/>
    </row>
    <row r="48" spans="1:8" ht="14.4" x14ac:dyDescent="0.3">
      <c r="A48" s="12" t="s">
        <v>1</v>
      </c>
      <c r="B48" s="12" t="s">
        <v>7</v>
      </c>
      <c r="C48" s="12" t="s">
        <v>2</v>
      </c>
      <c r="D48" s="12" t="s">
        <v>3</v>
      </c>
      <c r="E48" s="12" t="s">
        <v>4</v>
      </c>
      <c r="F48" s="12" t="s">
        <v>24</v>
      </c>
      <c r="G48" s="12" t="s">
        <v>6</v>
      </c>
      <c r="H48" s="12" t="s">
        <v>25</v>
      </c>
    </row>
    <row r="49" spans="1:8" ht="14.4" x14ac:dyDescent="0.3">
      <c r="A49" s="64">
        <v>43728</v>
      </c>
      <c r="B49" s="1">
        <f>1053545-49021</f>
        <v>1004524</v>
      </c>
      <c r="C49" s="2">
        <v>43728</v>
      </c>
      <c r="D49" s="2">
        <v>44093</v>
      </c>
      <c r="E49" s="3">
        <f>+D49-C49</f>
        <v>365</v>
      </c>
      <c r="F49" s="4">
        <v>0.18</v>
      </c>
      <c r="G49" s="5">
        <f>B49*E49*F49/365</f>
        <v>180814.31999999998</v>
      </c>
      <c r="H49" s="5">
        <f>+B49+G49</f>
        <v>1185338.32</v>
      </c>
    </row>
    <row r="50" spans="1:8" ht="14.4" x14ac:dyDescent="0.3">
      <c r="A50" s="16"/>
      <c r="B50" s="5">
        <f>+H49</f>
        <v>1185338.32</v>
      </c>
      <c r="C50" s="2">
        <f>+D49</f>
        <v>44093</v>
      </c>
      <c r="D50" s="2">
        <v>44100</v>
      </c>
      <c r="E50" s="3">
        <f t="shared" ref="E50" si="11">+D50-C50</f>
        <v>7</v>
      </c>
      <c r="F50" s="4">
        <v>0.18</v>
      </c>
      <c r="G50" s="5">
        <f>B50*E50*F50/365</f>
        <v>4091.8528306849312</v>
      </c>
      <c r="H50" s="5">
        <f t="shared" ref="H50" si="12">+B50+G50</f>
        <v>1189430.172830685</v>
      </c>
    </row>
    <row r="51" spans="1:8" ht="14.4" x14ac:dyDescent="0.3">
      <c r="A51" s="16"/>
      <c r="B51" s="5"/>
      <c r="C51" s="2"/>
      <c r="D51" s="2"/>
      <c r="E51" s="3"/>
      <c r="F51" s="4"/>
      <c r="G51" s="5"/>
      <c r="H51" s="8"/>
    </row>
    <row r="52" spans="1:8" ht="14.4" x14ac:dyDescent="0.3">
      <c r="A52" s="16"/>
      <c r="B52" s="5"/>
      <c r="C52" s="2"/>
      <c r="D52" s="2"/>
      <c r="E52" s="3"/>
      <c r="F52" s="4"/>
      <c r="G52" s="5"/>
      <c r="H52" s="5"/>
    </row>
    <row r="53" spans="1:8" ht="14.4" x14ac:dyDescent="0.3">
      <c r="A53" s="16"/>
      <c r="B53" s="8">
        <f>+B49</f>
        <v>1004524</v>
      </c>
      <c r="C53" s="528" t="s">
        <v>10</v>
      </c>
      <c r="D53" s="529"/>
      <c r="E53" s="529"/>
      <c r="F53" s="530"/>
      <c r="G53" s="55">
        <f>+SUM(G49:G52)</f>
        <v>184906.1728306849</v>
      </c>
      <c r="H53" s="8">
        <f>+G53+B53</f>
        <v>1189430.1728306848</v>
      </c>
    </row>
    <row r="56" spans="1:8" ht="18" x14ac:dyDescent="0.35">
      <c r="A56" s="542" t="s">
        <v>34</v>
      </c>
      <c r="B56" s="542"/>
      <c r="C56" s="542"/>
      <c r="D56" s="542"/>
      <c r="E56" s="542"/>
      <c r="F56" s="542"/>
      <c r="G56" s="542"/>
      <c r="H56" s="542"/>
    </row>
    <row r="58" spans="1:8" ht="21" x14ac:dyDescent="0.4">
      <c r="A58" s="520" t="s">
        <v>8</v>
      </c>
      <c r="B58" s="521"/>
      <c r="C58" s="521"/>
      <c r="D58" s="521"/>
      <c r="E58" s="521"/>
      <c r="F58" s="521"/>
      <c r="G58" s="521"/>
      <c r="H58" s="522"/>
    </row>
    <row r="59" spans="1:8" ht="14.4" x14ac:dyDescent="0.3">
      <c r="A59" s="12" t="s">
        <v>1</v>
      </c>
      <c r="B59" s="12" t="s">
        <v>7</v>
      </c>
      <c r="C59" s="12" t="s">
        <v>2</v>
      </c>
      <c r="D59" s="12" t="s">
        <v>3</v>
      </c>
      <c r="E59" s="12" t="s">
        <v>4</v>
      </c>
      <c r="F59" s="12" t="s">
        <v>24</v>
      </c>
      <c r="G59" s="12" t="s">
        <v>6</v>
      </c>
      <c r="H59" s="12" t="s">
        <v>25</v>
      </c>
    </row>
    <row r="60" spans="1:8" ht="14.4" x14ac:dyDescent="0.3">
      <c r="A60" s="64">
        <v>42687</v>
      </c>
      <c r="B60" s="1">
        <v>2500000</v>
      </c>
      <c r="C60" s="2">
        <v>42687</v>
      </c>
      <c r="D60" s="2">
        <v>43052</v>
      </c>
      <c r="E60" s="3">
        <f>+D60-C60</f>
        <v>365</v>
      </c>
      <c r="F60" s="4">
        <v>0.18</v>
      </c>
      <c r="G60" s="5">
        <f>B60*E60*F60/365</f>
        <v>450000</v>
      </c>
      <c r="H60" s="5">
        <f>+B60+G60</f>
        <v>2950000</v>
      </c>
    </row>
    <row r="61" spans="1:8" ht="14.4" x14ac:dyDescent="0.3">
      <c r="A61" s="16"/>
      <c r="B61" s="5">
        <f>+H60</f>
        <v>2950000</v>
      </c>
      <c r="C61" s="2">
        <f>+D60</f>
        <v>43052</v>
      </c>
      <c r="D61" s="2">
        <v>43417</v>
      </c>
      <c r="E61" s="3">
        <f t="shared" ref="E61:E63" si="13">+D61-C61</f>
        <v>365</v>
      </c>
      <c r="F61" s="4">
        <v>0.18</v>
      </c>
      <c r="G61" s="5">
        <f>B61*E61*F61/365</f>
        <v>531000</v>
      </c>
      <c r="H61" s="5">
        <f t="shared" ref="H61:H63" si="14">+B61+G61</f>
        <v>3481000</v>
      </c>
    </row>
    <row r="62" spans="1:8" ht="14.4" x14ac:dyDescent="0.3">
      <c r="A62" s="16"/>
      <c r="B62" s="5">
        <f>+H61</f>
        <v>3481000</v>
      </c>
      <c r="C62" s="2">
        <f>+D61</f>
        <v>43417</v>
      </c>
      <c r="D62" s="2">
        <v>43781</v>
      </c>
      <c r="E62" s="3">
        <f t="shared" si="13"/>
        <v>364</v>
      </c>
      <c r="F62" s="4">
        <v>0.18</v>
      </c>
      <c r="G62" s="5">
        <f t="shared" ref="G62:G63" si="15">B62*E62*F62/365</f>
        <v>624863.34246575343</v>
      </c>
      <c r="H62" s="5">
        <f t="shared" si="14"/>
        <v>4105863.3424657537</v>
      </c>
    </row>
    <row r="63" spans="1:8" ht="14.4" x14ac:dyDescent="0.3">
      <c r="A63" s="16"/>
      <c r="B63" s="5">
        <f>+H62</f>
        <v>4105863.3424657537</v>
      </c>
      <c r="C63" s="2">
        <f>+D62</f>
        <v>43781</v>
      </c>
      <c r="D63" s="2">
        <v>44114</v>
      </c>
      <c r="E63" s="3">
        <f t="shared" si="13"/>
        <v>333</v>
      </c>
      <c r="F63" s="4">
        <v>0.18</v>
      </c>
      <c r="G63" s="5">
        <f t="shared" si="15"/>
        <v>674261.50341752672</v>
      </c>
      <c r="H63" s="8">
        <f t="shared" si="14"/>
        <v>4780124.84588328</v>
      </c>
    </row>
    <row r="64" spans="1:8" ht="14.4" x14ac:dyDescent="0.3">
      <c r="A64" s="16"/>
      <c r="B64" s="5"/>
      <c r="C64" s="2"/>
      <c r="D64" s="2"/>
      <c r="E64" s="3"/>
      <c r="F64" s="4"/>
      <c r="G64" s="5"/>
      <c r="H64" s="5"/>
    </row>
    <row r="65" spans="1:8" ht="14.4" x14ac:dyDescent="0.3">
      <c r="A65" s="16"/>
      <c r="B65" s="8">
        <f>+B60</f>
        <v>2500000</v>
      </c>
      <c r="C65" s="528" t="s">
        <v>10</v>
      </c>
      <c r="D65" s="529"/>
      <c r="E65" s="529"/>
      <c r="F65" s="530"/>
      <c r="G65" s="55">
        <f>+SUM(G60:G64)</f>
        <v>2280124.84588328</v>
      </c>
      <c r="H65" s="8">
        <f>+G65+B65</f>
        <v>4780124.84588328</v>
      </c>
    </row>
    <row r="67" spans="1:8" ht="21" x14ac:dyDescent="0.4">
      <c r="A67" s="520" t="s">
        <v>21</v>
      </c>
      <c r="B67" s="521"/>
      <c r="C67" s="521"/>
      <c r="D67" s="521"/>
      <c r="E67" s="521"/>
      <c r="F67" s="521"/>
      <c r="G67" s="521"/>
      <c r="H67" s="522"/>
    </row>
    <row r="68" spans="1:8" ht="14.4" x14ac:dyDescent="0.3">
      <c r="A68" s="12" t="s">
        <v>1</v>
      </c>
      <c r="B68" s="12" t="s">
        <v>7</v>
      </c>
      <c r="C68" s="12" t="s">
        <v>2</v>
      </c>
      <c r="D68" s="12" t="s">
        <v>3</v>
      </c>
      <c r="E68" s="12" t="s">
        <v>4</v>
      </c>
      <c r="F68" s="12" t="s">
        <v>5</v>
      </c>
      <c r="G68" s="12" t="s">
        <v>6</v>
      </c>
      <c r="H68" s="12"/>
    </row>
    <row r="69" spans="1:8" ht="14.4" x14ac:dyDescent="0.3">
      <c r="A69" s="63">
        <v>42803</v>
      </c>
      <c r="B69" s="7">
        <v>500000</v>
      </c>
      <c r="C69" s="2">
        <v>42803</v>
      </c>
      <c r="D69" s="2">
        <v>43168</v>
      </c>
      <c r="E69" s="3">
        <f t="shared" ref="E69:E76" si="16">+D69-C69</f>
        <v>365</v>
      </c>
      <c r="F69" s="4">
        <v>0.18</v>
      </c>
      <c r="G69" s="5">
        <f t="shared" ref="G69:G76" si="17">B69*E69*F69/365</f>
        <v>90000</v>
      </c>
      <c r="H69" s="5">
        <f>+B69+G69</f>
        <v>590000</v>
      </c>
    </row>
    <row r="70" spans="1:8" ht="14.4" x14ac:dyDescent="0.3">
      <c r="A70" s="17"/>
      <c r="B70" s="5">
        <f>+H69</f>
        <v>590000</v>
      </c>
      <c r="C70" s="2">
        <f>+D69</f>
        <v>43168</v>
      </c>
      <c r="D70" s="2">
        <v>43533</v>
      </c>
      <c r="E70" s="3">
        <f t="shared" si="16"/>
        <v>365</v>
      </c>
      <c r="F70" s="4">
        <v>0.18</v>
      </c>
      <c r="G70" s="5">
        <f t="shared" si="17"/>
        <v>106200</v>
      </c>
      <c r="H70" s="5">
        <f>+B70+G70</f>
        <v>696200</v>
      </c>
    </row>
    <row r="71" spans="1:8" ht="14.4" x14ac:dyDescent="0.3">
      <c r="A71" s="17"/>
      <c r="B71" s="5">
        <f>+H70</f>
        <v>696200</v>
      </c>
      <c r="C71" s="2">
        <f>+D70</f>
        <v>43533</v>
      </c>
      <c r="D71" s="2">
        <v>43898</v>
      </c>
      <c r="E71" s="3">
        <f t="shared" si="16"/>
        <v>365</v>
      </c>
      <c r="F71" s="4">
        <v>0.18</v>
      </c>
      <c r="G71" s="5">
        <f t="shared" si="17"/>
        <v>125316</v>
      </c>
      <c r="H71" s="5">
        <f>+B71+G71</f>
        <v>821516</v>
      </c>
    </row>
    <row r="72" spans="1:8" ht="14.4" x14ac:dyDescent="0.3">
      <c r="A72" s="17"/>
      <c r="B72" s="5">
        <f>+H71</f>
        <v>821516</v>
      </c>
      <c r="C72" s="2">
        <f>+D71</f>
        <v>43898</v>
      </c>
      <c r="D72" s="2">
        <v>44114</v>
      </c>
      <c r="E72" s="3">
        <f t="shared" si="16"/>
        <v>216</v>
      </c>
      <c r="F72" s="4">
        <v>0.18</v>
      </c>
      <c r="G72" s="5">
        <f t="shared" si="17"/>
        <v>87508.334465753418</v>
      </c>
      <c r="H72" s="55">
        <f>+B72+G72</f>
        <v>909024.3344657534</v>
      </c>
    </row>
    <row r="73" spans="1:8" ht="14.4" x14ac:dyDescent="0.3">
      <c r="A73" s="63">
        <v>43547</v>
      </c>
      <c r="B73" s="7">
        <v>1100000</v>
      </c>
      <c r="C73" s="2">
        <v>43547</v>
      </c>
      <c r="D73" s="2">
        <v>43912</v>
      </c>
      <c r="E73" s="3">
        <f t="shared" si="16"/>
        <v>365</v>
      </c>
      <c r="F73" s="4">
        <v>0.18</v>
      </c>
      <c r="G73" s="5">
        <f t="shared" si="17"/>
        <v>198000</v>
      </c>
      <c r="H73" s="5">
        <f t="shared" ref="H73:H76" si="18">+B73+G73</f>
        <v>1298000</v>
      </c>
    </row>
    <row r="74" spans="1:8" ht="14.4" x14ac:dyDescent="0.3">
      <c r="A74" s="63"/>
      <c r="B74" s="5">
        <f>+H73</f>
        <v>1298000</v>
      </c>
      <c r="C74" s="2">
        <f>+D73</f>
        <v>43912</v>
      </c>
      <c r="D74" s="2">
        <v>44114</v>
      </c>
      <c r="E74" s="3">
        <f t="shared" si="16"/>
        <v>202</v>
      </c>
      <c r="F74" s="4">
        <v>0.18</v>
      </c>
      <c r="G74" s="5">
        <f t="shared" si="17"/>
        <v>129302.13698630137</v>
      </c>
      <c r="H74" s="55">
        <f t="shared" si="18"/>
        <v>1427302.1369863013</v>
      </c>
    </row>
    <row r="75" spans="1:8" ht="14.4" x14ac:dyDescent="0.3">
      <c r="A75" s="63">
        <v>43728</v>
      </c>
      <c r="B75" s="7">
        <v>1000000</v>
      </c>
      <c r="C75" s="2">
        <v>43728</v>
      </c>
      <c r="D75" s="2">
        <v>44093</v>
      </c>
      <c r="E75" s="3">
        <f t="shared" si="16"/>
        <v>365</v>
      </c>
      <c r="F75" s="4">
        <v>0.18</v>
      </c>
      <c r="G75" s="5">
        <f t="shared" si="17"/>
        <v>180000</v>
      </c>
      <c r="H75" s="5">
        <f t="shared" si="18"/>
        <v>1180000</v>
      </c>
    </row>
    <row r="76" spans="1:8" ht="14.4" x14ac:dyDescent="0.3">
      <c r="A76" s="63"/>
      <c r="B76" s="5">
        <f>+H75</f>
        <v>1180000</v>
      </c>
      <c r="C76" s="2">
        <f>+D75</f>
        <v>44093</v>
      </c>
      <c r="D76" s="2">
        <v>44114</v>
      </c>
      <c r="E76" s="3">
        <f t="shared" si="16"/>
        <v>21</v>
      </c>
      <c r="F76" s="4">
        <v>0.18</v>
      </c>
      <c r="G76" s="5">
        <f t="shared" si="17"/>
        <v>12220.273972602739</v>
      </c>
      <c r="H76" s="55">
        <f t="shared" si="18"/>
        <v>1192220.2739726028</v>
      </c>
    </row>
    <row r="77" spans="1:8" ht="14.4" x14ac:dyDescent="0.3">
      <c r="A77" s="17"/>
      <c r="B77" s="1"/>
      <c r="C77" s="2"/>
      <c r="D77" s="2"/>
      <c r="E77" s="3"/>
      <c r="F77" s="4"/>
      <c r="G77" s="5"/>
      <c r="H77" s="5"/>
    </row>
    <row r="78" spans="1:8" ht="14.4" x14ac:dyDescent="0.3">
      <c r="A78" s="15"/>
      <c r="B78" s="8">
        <f>+B69+B73+B75</f>
        <v>2600000</v>
      </c>
      <c r="C78" s="528" t="s">
        <v>11</v>
      </c>
      <c r="D78" s="529"/>
      <c r="E78" s="529"/>
      <c r="F78" s="530"/>
      <c r="G78" s="55">
        <f>+SUM(G69:G77)</f>
        <v>928546.74542465759</v>
      </c>
      <c r="H78" s="8">
        <f>+B78+G78</f>
        <v>3528546.7454246576</v>
      </c>
    </row>
    <row r="80" spans="1:8" ht="14.4" x14ac:dyDescent="0.3">
      <c r="A80" s="570" t="s">
        <v>15</v>
      </c>
      <c r="B80" s="570"/>
      <c r="C80" s="570"/>
      <c r="D80" s="570"/>
      <c r="E80" s="570"/>
      <c r="F80" s="570"/>
      <c r="G80" s="14"/>
    </row>
    <row r="81" spans="1:8" ht="14.4" x14ac:dyDescent="0.3">
      <c r="A81" s="12"/>
      <c r="B81" s="539"/>
      <c r="C81" s="540"/>
      <c r="D81" s="12" t="s">
        <v>8</v>
      </c>
      <c r="E81" s="543" t="s">
        <v>21</v>
      </c>
      <c r="F81" s="543"/>
    </row>
    <row r="82" spans="1:8" ht="14.4" x14ac:dyDescent="0.3">
      <c r="A82" s="17">
        <v>42687</v>
      </c>
      <c r="B82" s="566" t="s">
        <v>8</v>
      </c>
      <c r="C82" s="566"/>
      <c r="D82" s="15">
        <v>2500000</v>
      </c>
      <c r="E82" s="566"/>
      <c r="F82" s="566"/>
      <c r="G82" s="14"/>
    </row>
    <row r="83" spans="1:8" ht="14.4" x14ac:dyDescent="0.3">
      <c r="A83" s="15"/>
      <c r="B83" s="566" t="s">
        <v>28</v>
      </c>
      <c r="C83" s="566"/>
      <c r="D83" s="54">
        <f>+G65</f>
        <v>2280124.84588328</v>
      </c>
      <c r="E83" s="566"/>
      <c r="F83" s="566"/>
    </row>
    <row r="84" spans="1:8" ht="14.4" x14ac:dyDescent="0.3">
      <c r="A84" s="15" t="s">
        <v>20</v>
      </c>
      <c r="B84" s="566"/>
      <c r="C84" s="566"/>
      <c r="D84" s="15"/>
      <c r="E84" s="566"/>
      <c r="F84" s="566"/>
    </row>
    <row r="85" spans="1:8" ht="14.4" x14ac:dyDescent="0.3">
      <c r="A85" s="17">
        <v>42803</v>
      </c>
      <c r="B85" s="566" t="s">
        <v>21</v>
      </c>
      <c r="C85" s="566"/>
      <c r="D85" s="15"/>
      <c r="E85" s="566">
        <f>+B69</f>
        <v>500000</v>
      </c>
      <c r="F85" s="566"/>
      <c r="H85" s="14"/>
    </row>
    <row r="86" spans="1:8" ht="14.4" x14ac:dyDescent="0.3">
      <c r="A86" s="17">
        <v>43547</v>
      </c>
      <c r="B86" s="566" t="s">
        <v>21</v>
      </c>
      <c r="C86" s="566"/>
      <c r="D86" s="15"/>
      <c r="E86" s="566">
        <f>+B73</f>
        <v>1100000</v>
      </c>
      <c r="F86" s="566"/>
    </row>
    <row r="87" spans="1:8" ht="14.4" x14ac:dyDescent="0.3">
      <c r="A87" s="17">
        <v>43728</v>
      </c>
      <c r="B87" s="566" t="s">
        <v>21</v>
      </c>
      <c r="C87" s="566"/>
      <c r="D87" s="15"/>
      <c r="E87" s="566">
        <f>+B75</f>
        <v>1000000</v>
      </c>
      <c r="F87" s="566"/>
    </row>
    <row r="88" spans="1:8" ht="14.4" x14ac:dyDescent="0.3">
      <c r="A88" s="17"/>
      <c r="B88" s="566" t="s">
        <v>28</v>
      </c>
      <c r="C88" s="566"/>
      <c r="D88" s="15"/>
      <c r="E88" s="568">
        <f>+G78</f>
        <v>928546.74542465759</v>
      </c>
      <c r="F88" s="568"/>
    </row>
    <row r="89" spans="1:8" ht="14.4" x14ac:dyDescent="0.3">
      <c r="A89" s="15"/>
      <c r="B89" s="566"/>
      <c r="C89" s="566"/>
      <c r="D89" s="15"/>
      <c r="E89" s="566"/>
      <c r="F89" s="566"/>
      <c r="G89" s="11"/>
    </row>
    <row r="90" spans="1:8" ht="14.4" x14ac:dyDescent="0.3">
      <c r="A90" s="15"/>
      <c r="B90" s="566" t="s">
        <v>22</v>
      </c>
      <c r="C90" s="566"/>
      <c r="D90" s="54">
        <f>+SUM(D82:D89)</f>
        <v>4780124.84588328</v>
      </c>
      <c r="E90" s="568">
        <f>+SUM(E85:E89)</f>
        <v>3528546.7454246576</v>
      </c>
      <c r="F90" s="568"/>
    </row>
    <row r="91" spans="1:8" ht="14.4" x14ac:dyDescent="0.3">
      <c r="A91" s="65"/>
      <c r="B91" s="567" t="s">
        <v>56</v>
      </c>
      <c r="C91" s="567"/>
      <c r="D91" s="66"/>
      <c r="E91" s="569">
        <f>+D90-E90</f>
        <v>1251578.1004586224</v>
      </c>
      <c r="F91" s="569"/>
    </row>
    <row r="93" spans="1:8" ht="14.4" x14ac:dyDescent="0.3">
      <c r="A93" s="571" t="s">
        <v>76</v>
      </c>
      <c r="B93" s="572"/>
      <c r="C93" s="572"/>
      <c r="D93" s="572"/>
      <c r="E93" s="572"/>
      <c r="F93" s="573"/>
    </row>
    <row r="94" spans="1:8" ht="14.4" x14ac:dyDescent="0.3">
      <c r="A94" s="17">
        <v>43188</v>
      </c>
      <c r="B94" s="564" t="s">
        <v>54</v>
      </c>
      <c r="C94" s="565"/>
      <c r="D94" s="1" t="s">
        <v>55</v>
      </c>
      <c r="E94" s="1"/>
      <c r="F94" s="1">
        <v>21532</v>
      </c>
    </row>
    <row r="95" spans="1:8" ht="14.4" x14ac:dyDescent="0.3">
      <c r="A95" s="17">
        <v>43167</v>
      </c>
      <c r="B95" s="1" t="s">
        <v>53</v>
      </c>
      <c r="C95" s="1"/>
      <c r="D95" s="1" t="s">
        <v>51</v>
      </c>
      <c r="E95" s="1"/>
      <c r="F95" s="1">
        <v>14375</v>
      </c>
    </row>
    <row r="96" spans="1:8" ht="14.4" x14ac:dyDescent="0.3">
      <c r="A96" s="17">
        <v>43675</v>
      </c>
      <c r="B96" s="1" t="s">
        <v>52</v>
      </c>
      <c r="C96" s="1"/>
      <c r="D96" s="1" t="s">
        <v>35</v>
      </c>
      <c r="E96" s="1"/>
      <c r="F96" s="1">
        <v>13114</v>
      </c>
      <c r="H96" s="14">
        <f>+E91-F98</f>
        <v>1202557.1004586224</v>
      </c>
    </row>
    <row r="97" spans="1:13" x14ac:dyDescent="0.35">
      <c r="A97" s="514"/>
      <c r="B97" s="515"/>
      <c r="C97" s="515"/>
      <c r="D97" s="515"/>
      <c r="E97" s="515"/>
      <c r="F97" s="516"/>
    </row>
    <row r="98" spans="1:13" x14ac:dyDescent="0.35">
      <c r="A98" s="539" t="s">
        <v>57</v>
      </c>
      <c r="B98" s="541"/>
      <c r="C98" s="541"/>
      <c r="D98" s="541"/>
      <c r="E98" s="540"/>
      <c r="F98" s="7">
        <f>SUM(F94:F97)</f>
        <v>49021</v>
      </c>
    </row>
    <row r="101" spans="1:13" ht="21" x14ac:dyDescent="0.5">
      <c r="A101" s="520" t="s">
        <v>100</v>
      </c>
      <c r="B101" s="521"/>
      <c r="C101" s="521"/>
      <c r="D101" s="521"/>
      <c r="E101" s="521"/>
      <c r="F101" s="521"/>
      <c r="G101" s="521"/>
      <c r="H101" s="522"/>
    </row>
    <row r="102" spans="1:13" ht="21" x14ac:dyDescent="0.5">
      <c r="A102" s="520" t="s">
        <v>99</v>
      </c>
      <c r="B102" s="521"/>
      <c r="C102" s="521"/>
      <c r="D102" s="521"/>
      <c r="E102" s="521"/>
      <c r="F102" s="521"/>
      <c r="G102" s="521"/>
      <c r="H102" s="522"/>
    </row>
    <row r="103" spans="1:13" x14ac:dyDescent="0.35">
      <c r="A103" s="12" t="s">
        <v>1</v>
      </c>
      <c r="B103" s="12" t="s">
        <v>7</v>
      </c>
      <c r="C103" s="12" t="s">
        <v>2</v>
      </c>
      <c r="D103" s="12" t="s">
        <v>3</v>
      </c>
      <c r="E103" s="12" t="s">
        <v>4</v>
      </c>
      <c r="F103" s="12" t="s">
        <v>24</v>
      </c>
      <c r="G103" s="12" t="s">
        <v>6</v>
      </c>
      <c r="H103" s="12" t="s">
        <v>25</v>
      </c>
    </row>
    <row r="104" spans="1:13" x14ac:dyDescent="0.35">
      <c r="A104" s="64">
        <v>43728</v>
      </c>
      <c r="B104" s="1">
        <f>1053545-49021</f>
        <v>1004524</v>
      </c>
      <c r="C104" s="2">
        <v>43728</v>
      </c>
      <c r="D104" s="2">
        <v>44093</v>
      </c>
      <c r="E104" s="3">
        <f>+D104-C104</f>
        <v>365</v>
      </c>
      <c r="F104" s="4">
        <v>0.18</v>
      </c>
      <c r="G104" s="5">
        <f>B104*E104*F104/365</f>
        <v>180814.31999999998</v>
      </c>
      <c r="H104" s="5">
        <f>+B104+G104</f>
        <v>1185338.32</v>
      </c>
      <c r="M104" s="14">
        <f>+D105-A104</f>
        <v>386</v>
      </c>
    </row>
    <row r="105" spans="1:13" x14ac:dyDescent="0.35">
      <c r="A105" s="16"/>
      <c r="B105" s="5">
        <f>+H104</f>
        <v>1185338.32</v>
      </c>
      <c r="C105" s="2">
        <f>+D104</f>
        <v>44093</v>
      </c>
      <c r="D105" s="2">
        <v>44114</v>
      </c>
      <c r="E105" s="3">
        <f t="shared" ref="E105" si="19">+D105-C105</f>
        <v>21</v>
      </c>
      <c r="F105" s="4">
        <v>0.18</v>
      </c>
      <c r="G105" s="5">
        <f>B105*E105*F105/365</f>
        <v>12275.558492054795</v>
      </c>
      <c r="H105" s="5">
        <f t="shared" ref="H105" si="20">+B105+G105</f>
        <v>1197613.8784920548</v>
      </c>
    </row>
    <row r="106" spans="1:13" x14ac:dyDescent="0.35">
      <c r="A106" s="16"/>
      <c r="B106" s="5"/>
      <c r="C106" s="2"/>
      <c r="D106" s="2"/>
      <c r="E106" s="3"/>
      <c r="F106" s="4"/>
      <c r="G106" s="5"/>
      <c r="H106" s="8"/>
    </row>
    <row r="107" spans="1:13" x14ac:dyDescent="0.35">
      <c r="A107" s="16"/>
      <c r="B107" s="5"/>
      <c r="C107" s="2"/>
      <c r="D107" s="2"/>
      <c r="E107" s="3"/>
      <c r="F107" s="4"/>
      <c r="G107" s="5"/>
      <c r="H107" s="5"/>
    </row>
    <row r="108" spans="1:13" x14ac:dyDescent="0.35">
      <c r="A108" s="16"/>
      <c r="B108" s="8">
        <f>+B104</f>
        <v>1004524</v>
      </c>
      <c r="C108" s="528" t="s">
        <v>10</v>
      </c>
      <c r="D108" s="529"/>
      <c r="E108" s="529"/>
      <c r="F108" s="530"/>
      <c r="G108" s="55">
        <f>+SUM(G104:G107)</f>
        <v>193089.87849205476</v>
      </c>
      <c r="H108" s="8">
        <f>+G108+B108</f>
        <v>1197613.8784920548</v>
      </c>
      <c r="K108" s="14">
        <f>+H96-H108</f>
        <v>4943.2219665676821</v>
      </c>
    </row>
    <row r="110" spans="1:13" x14ac:dyDescent="0.35">
      <c r="H110" s="14">
        <f>+H108+F94</f>
        <v>1219145.8784920548</v>
      </c>
    </row>
  </sheetData>
  <mergeCells count="69">
    <mergeCell ref="C108:F108"/>
    <mergeCell ref="A101:H101"/>
    <mergeCell ref="A93:F93"/>
    <mergeCell ref="B94:C94"/>
    <mergeCell ref="A97:F97"/>
    <mergeCell ref="A98:E98"/>
    <mergeCell ref="A102:H102"/>
    <mergeCell ref="B89:C89"/>
    <mergeCell ref="E89:F89"/>
    <mergeCell ref="B90:C90"/>
    <mergeCell ref="E90:F90"/>
    <mergeCell ref="B91:C91"/>
    <mergeCell ref="E91:F91"/>
    <mergeCell ref="B86:C86"/>
    <mergeCell ref="E86:F86"/>
    <mergeCell ref="B87:C87"/>
    <mergeCell ref="E87:F87"/>
    <mergeCell ref="B88:C88"/>
    <mergeCell ref="E88:F88"/>
    <mergeCell ref="B83:C83"/>
    <mergeCell ref="E83:F83"/>
    <mergeCell ref="B84:C84"/>
    <mergeCell ref="E84:F84"/>
    <mergeCell ref="B85:C85"/>
    <mergeCell ref="E85:F85"/>
    <mergeCell ref="A80:F80"/>
    <mergeCell ref="B81:C81"/>
    <mergeCell ref="E81:F81"/>
    <mergeCell ref="B82:C82"/>
    <mergeCell ref="E82:F82"/>
    <mergeCell ref="A56:H56"/>
    <mergeCell ref="A58:H58"/>
    <mergeCell ref="C65:F65"/>
    <mergeCell ref="A67:H67"/>
    <mergeCell ref="C78:F78"/>
    <mergeCell ref="C11:F11"/>
    <mergeCell ref="E27:F27"/>
    <mergeCell ref="A39:F39"/>
    <mergeCell ref="E28:F28"/>
    <mergeCell ref="E29:F29"/>
    <mergeCell ref="E30:F30"/>
    <mergeCell ref="E31:F31"/>
    <mergeCell ref="B32:C32"/>
    <mergeCell ref="B33:C33"/>
    <mergeCell ref="B34:C34"/>
    <mergeCell ref="B35:C35"/>
    <mergeCell ref="B30:C30"/>
    <mergeCell ref="B31:C31"/>
    <mergeCell ref="A2:H2"/>
    <mergeCell ref="B36:C36"/>
    <mergeCell ref="B37:C37"/>
    <mergeCell ref="E36:F36"/>
    <mergeCell ref="E37:F37"/>
    <mergeCell ref="B27:C27"/>
    <mergeCell ref="E32:F32"/>
    <mergeCell ref="E33:F33"/>
    <mergeCell ref="E34:F34"/>
    <mergeCell ref="E35:F35"/>
    <mergeCell ref="B28:C28"/>
    <mergeCell ref="B29:C29"/>
    <mergeCell ref="A4:H4"/>
    <mergeCell ref="A13:H13"/>
    <mergeCell ref="A26:F26"/>
    <mergeCell ref="C24:F24"/>
    <mergeCell ref="A47:H47"/>
    <mergeCell ref="C53:F53"/>
    <mergeCell ref="B40:C40"/>
    <mergeCell ref="A43:F43"/>
    <mergeCell ref="A44:E44"/>
  </mergeCells>
  <pageMargins left="0.37" right="0.3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workbookViewId="0">
      <selection activeCell="N10" sqref="N10"/>
    </sheetView>
  </sheetViews>
  <sheetFormatPr defaultRowHeight="14.5" x14ac:dyDescent="0.35"/>
  <cols>
    <col min="1" max="1" width="10.6328125" style="6" bestFit="1" customWidth="1"/>
    <col min="2" max="2" width="9.6328125" customWidth="1"/>
    <col min="3" max="3" width="10.54296875" customWidth="1"/>
    <col min="4" max="4" width="10.90625" customWidth="1"/>
    <col min="7" max="7" width="13.36328125" customWidth="1"/>
    <col min="8" max="8" width="12" bestFit="1" customWidth="1"/>
  </cols>
  <sheetData>
    <row r="1" spans="1:8" ht="18" x14ac:dyDescent="0.35">
      <c r="A1" s="542" t="s">
        <v>41</v>
      </c>
      <c r="B1" s="542"/>
      <c r="C1" s="542"/>
      <c r="D1" s="542"/>
      <c r="E1" s="542"/>
      <c r="F1" s="542"/>
      <c r="G1" s="542"/>
      <c r="H1" s="542"/>
    </row>
    <row r="3" spans="1:8" s="43" customFormat="1" ht="28.75" x14ac:dyDescent="0.3">
      <c r="A3" s="41" t="s">
        <v>1</v>
      </c>
      <c r="B3" s="41" t="s">
        <v>7</v>
      </c>
      <c r="C3" s="41" t="s">
        <v>2</v>
      </c>
      <c r="D3" s="41" t="s">
        <v>3</v>
      </c>
      <c r="E3" s="41" t="s">
        <v>4</v>
      </c>
      <c r="F3" s="41" t="s">
        <v>24</v>
      </c>
      <c r="G3" s="41" t="s">
        <v>6</v>
      </c>
      <c r="H3" s="41" t="s">
        <v>25</v>
      </c>
    </row>
    <row r="4" spans="1:8" ht="14.4" x14ac:dyDescent="0.3">
      <c r="A4" s="15"/>
      <c r="B4" s="12" t="s">
        <v>8</v>
      </c>
      <c r="C4" s="1"/>
      <c r="D4" s="1"/>
      <c r="E4" s="1"/>
      <c r="F4" s="1"/>
      <c r="G4" s="1"/>
      <c r="H4" s="1"/>
    </row>
    <row r="5" spans="1:8" ht="14.4" x14ac:dyDescent="0.3">
      <c r="A5" s="17">
        <v>43534</v>
      </c>
      <c r="B5" s="1">
        <v>1000000</v>
      </c>
      <c r="C5" s="2">
        <v>43534</v>
      </c>
      <c r="D5" s="2">
        <v>43899</v>
      </c>
      <c r="E5" s="59">
        <f>+D5-C5</f>
        <v>365</v>
      </c>
      <c r="F5" s="4">
        <v>0.18</v>
      </c>
      <c r="G5" s="5">
        <f>B5*E5*F5/365</f>
        <v>180000</v>
      </c>
      <c r="H5" s="5">
        <f>+B5+G5</f>
        <v>1180000</v>
      </c>
    </row>
    <row r="6" spans="1:8" ht="14.4" x14ac:dyDescent="0.3">
      <c r="A6" s="16"/>
      <c r="B6" s="5"/>
      <c r="C6" s="2">
        <v>43900</v>
      </c>
      <c r="D6" s="2">
        <v>43934</v>
      </c>
      <c r="E6" s="58">
        <f t="shared" ref="E6" si="0">+D6-C6</f>
        <v>34</v>
      </c>
      <c r="F6" s="4">
        <v>0.18</v>
      </c>
      <c r="G6" s="5">
        <f>H5*E6*F6/365</f>
        <v>19785.205479452055</v>
      </c>
      <c r="H6" s="8">
        <f>+H5+G6</f>
        <v>1199785.2054794522</v>
      </c>
    </row>
    <row r="7" spans="1:8" ht="14.4" x14ac:dyDescent="0.3">
      <c r="A7" s="16"/>
      <c r="B7" s="5"/>
      <c r="C7" s="2"/>
      <c r="D7" s="2" t="s">
        <v>94</v>
      </c>
      <c r="E7" s="58"/>
      <c r="F7" s="4"/>
      <c r="G7" s="5"/>
      <c r="H7" s="8"/>
    </row>
    <row r="8" spans="1:8" ht="14.4" x14ac:dyDescent="0.3">
      <c r="A8" s="16"/>
      <c r="B8" s="5"/>
      <c r="C8" s="2"/>
      <c r="D8" s="2"/>
      <c r="E8" s="56"/>
      <c r="F8" s="4"/>
      <c r="G8" s="8">
        <f>+SUM(G5:G6)</f>
        <v>199785.20547945207</v>
      </c>
      <c r="H8" s="5"/>
    </row>
    <row r="9" spans="1:8" ht="14.4" x14ac:dyDescent="0.3">
      <c r="E9" s="57"/>
    </row>
    <row r="10" spans="1:8" s="6" customFormat="1" ht="14.4" x14ac:dyDescent="0.3">
      <c r="A10" s="17">
        <v>43572</v>
      </c>
      <c r="B10" s="1">
        <v>500000</v>
      </c>
      <c r="C10" s="2">
        <v>43572</v>
      </c>
      <c r="D10" s="2">
        <v>43921</v>
      </c>
      <c r="E10" s="56">
        <f>+D10-C10</f>
        <v>349</v>
      </c>
      <c r="F10" s="4">
        <v>0.18</v>
      </c>
      <c r="G10" s="5">
        <f>B10*E10*F10/365</f>
        <v>86054.794520547948</v>
      </c>
      <c r="H10" s="8">
        <f>+B10+G10</f>
        <v>586054.79452054796</v>
      </c>
    </row>
    <row r="11" spans="1:8" s="6" customFormat="1" ht="14.4" x14ac:dyDescent="0.3">
      <c r="A11" s="17"/>
      <c r="B11" s="1"/>
      <c r="C11" s="2"/>
      <c r="D11" s="2"/>
      <c r="E11" s="56"/>
      <c r="F11" s="4"/>
      <c r="G11" s="5"/>
      <c r="H11" s="8"/>
    </row>
    <row r="12" spans="1:8" ht="14.4" x14ac:dyDescent="0.3">
      <c r="A12" s="16"/>
      <c r="B12" s="5"/>
      <c r="C12" s="2"/>
      <c r="D12" s="2"/>
      <c r="E12" s="3"/>
      <c r="F12" s="4"/>
      <c r="G12" s="8">
        <f>+SUM(G10:G10)</f>
        <v>86054.794520547948</v>
      </c>
      <c r="H12" s="5"/>
    </row>
    <row r="13" spans="1:8" x14ac:dyDescent="0.35">
      <c r="A13" s="16"/>
      <c r="B13" s="5"/>
      <c r="C13" s="2"/>
      <c r="D13" s="2"/>
      <c r="E13" s="3"/>
      <c r="F13" s="4"/>
      <c r="G13" s="8"/>
      <c r="H13" s="5"/>
    </row>
    <row r="14" spans="1:8" x14ac:dyDescent="0.35">
      <c r="A14" s="17"/>
      <c r="B14" s="514" t="s">
        <v>42</v>
      </c>
      <c r="C14" s="515"/>
      <c r="D14" s="515"/>
      <c r="E14" s="515"/>
      <c r="F14" s="516"/>
      <c r="G14" s="8">
        <f>+G8+G12</f>
        <v>285840</v>
      </c>
      <c r="H14" s="5"/>
    </row>
    <row r="15" spans="1:8" x14ac:dyDescent="0.35">
      <c r="A15" s="17"/>
      <c r="B15" s="514" t="s">
        <v>43</v>
      </c>
      <c r="C15" s="515"/>
      <c r="D15" s="515"/>
      <c r="E15" s="515"/>
      <c r="F15" s="516"/>
      <c r="G15" s="8">
        <f>+B10+B5</f>
        <v>1500000</v>
      </c>
      <c r="H15" s="5"/>
    </row>
    <row r="16" spans="1:8" x14ac:dyDescent="0.35">
      <c r="A16" s="15"/>
      <c r="B16" s="514" t="s">
        <v>58</v>
      </c>
      <c r="C16" s="515"/>
      <c r="D16" s="515"/>
      <c r="E16" s="515"/>
      <c r="F16" s="516"/>
      <c r="G16" s="55">
        <f>SUM(G14:G15)</f>
        <v>1785840</v>
      </c>
      <c r="H16" s="1"/>
    </row>
    <row r="19" spans="1:8" s="6" customFormat="1" x14ac:dyDescent="0.35">
      <c r="A19" s="17">
        <v>43907</v>
      </c>
      <c r="B19" s="1">
        <v>500000</v>
      </c>
      <c r="C19" s="2">
        <f>+A19</f>
        <v>43907</v>
      </c>
      <c r="D19" s="2">
        <v>43921</v>
      </c>
      <c r="E19" s="56">
        <f>+D19-C19</f>
        <v>14</v>
      </c>
      <c r="F19" s="4">
        <v>0.18</v>
      </c>
      <c r="G19" s="5">
        <f>B19*E19*F19/365</f>
        <v>3452.0547945205481</v>
      </c>
      <c r="H19" s="8">
        <f>+B19+G19</f>
        <v>503452.05479452055</v>
      </c>
    </row>
    <row r="20" spans="1:8" x14ac:dyDescent="0.35">
      <c r="A20" s="16"/>
      <c r="B20" s="5"/>
      <c r="C20" s="2"/>
      <c r="D20" s="2"/>
      <c r="E20" s="3"/>
      <c r="F20" s="4"/>
      <c r="G20" s="8"/>
      <c r="H20" s="5"/>
    </row>
    <row r="21" spans="1:8" x14ac:dyDescent="0.35">
      <c r="A21" s="17"/>
      <c r="B21" s="1"/>
      <c r="C21" s="2"/>
      <c r="D21" s="2"/>
      <c r="E21" s="3"/>
      <c r="F21" s="4"/>
      <c r="G21" s="5"/>
      <c r="H21" s="5"/>
    </row>
    <row r="24" spans="1:8" ht="29" x14ac:dyDescent="0.35">
      <c r="A24" s="41" t="s">
        <v>1</v>
      </c>
      <c r="B24" s="41" t="s">
        <v>7</v>
      </c>
      <c r="C24" s="41" t="s">
        <v>2</v>
      </c>
      <c r="D24" s="41" t="s">
        <v>3</v>
      </c>
      <c r="E24" s="41" t="s">
        <v>4</v>
      </c>
      <c r="F24" s="41" t="s">
        <v>24</v>
      </c>
      <c r="G24" s="41" t="s">
        <v>6</v>
      </c>
      <c r="H24" s="41" t="s">
        <v>25</v>
      </c>
    </row>
    <row r="25" spans="1:8" x14ac:dyDescent="0.35">
      <c r="A25" s="15"/>
      <c r="B25" s="12" t="s">
        <v>8</v>
      </c>
      <c r="C25" s="1"/>
      <c r="D25" s="1"/>
      <c r="E25" s="1"/>
      <c r="F25" s="1"/>
      <c r="G25" s="1"/>
      <c r="H25" s="1"/>
    </row>
    <row r="26" spans="1:8" x14ac:dyDescent="0.35">
      <c r="A26" s="17">
        <v>43534</v>
      </c>
      <c r="B26" s="1">
        <v>1000000</v>
      </c>
      <c r="C26" s="2">
        <v>43534</v>
      </c>
      <c r="D26" s="2">
        <v>43899</v>
      </c>
      <c r="E26" s="59">
        <f>+D26-C26</f>
        <v>365</v>
      </c>
      <c r="F26" s="4">
        <v>0.18</v>
      </c>
      <c r="G26" s="5">
        <f>B26*E26*F26/365</f>
        <v>180000</v>
      </c>
      <c r="H26" s="5">
        <f>+B26+G26</f>
        <v>1180000</v>
      </c>
    </row>
    <row r="27" spans="1:8" x14ac:dyDescent="0.35">
      <c r="A27" s="16"/>
      <c r="B27" s="5"/>
      <c r="C27" s="2">
        <v>43900</v>
      </c>
      <c r="D27" s="2">
        <v>43936</v>
      </c>
      <c r="E27" s="58">
        <f t="shared" ref="E27" si="1">+D27-C27</f>
        <v>36</v>
      </c>
      <c r="F27" s="4">
        <v>0.18</v>
      </c>
      <c r="G27" s="5">
        <f>H26*E27*F27/365</f>
        <v>20949.04109589041</v>
      </c>
      <c r="H27" s="8">
        <f>+H26+G27</f>
        <v>1200949.0410958903</v>
      </c>
    </row>
    <row r="28" spans="1:8" x14ac:dyDescent="0.35">
      <c r="A28" s="16"/>
      <c r="B28" s="5"/>
      <c r="C28" s="2"/>
      <c r="D28" s="2" t="s">
        <v>94</v>
      </c>
      <c r="E28" s="58"/>
      <c r="F28" s="4"/>
      <c r="G28" s="5"/>
      <c r="H28" s="8"/>
    </row>
    <row r="29" spans="1:8" x14ac:dyDescent="0.35">
      <c r="A29" s="16"/>
      <c r="B29" s="5"/>
      <c r="C29" s="2"/>
      <c r="D29" s="2"/>
      <c r="E29" s="56"/>
      <c r="F29" s="4"/>
      <c r="G29" s="8">
        <f>+SUM(G26:G27)</f>
        <v>200949.0410958904</v>
      </c>
      <c r="H29" s="5"/>
    </row>
    <row r="30" spans="1:8" x14ac:dyDescent="0.35">
      <c r="E30" s="57"/>
    </row>
    <row r="31" spans="1:8" x14ac:dyDescent="0.35">
      <c r="A31" s="17">
        <v>43572</v>
      </c>
      <c r="B31" s="1">
        <v>500000</v>
      </c>
      <c r="C31" s="2">
        <v>43572</v>
      </c>
      <c r="D31" s="2">
        <v>43936</v>
      </c>
      <c r="E31" s="56">
        <f>+D31-C31</f>
        <v>364</v>
      </c>
      <c r="F31" s="4">
        <v>0.18</v>
      </c>
      <c r="G31" s="5">
        <f>B31*E31*F31/365</f>
        <v>89753.42465753424</v>
      </c>
      <c r="H31" s="8">
        <f>+B31+G31</f>
        <v>589753.42465753423</v>
      </c>
    </row>
    <row r="32" spans="1:8" x14ac:dyDescent="0.35">
      <c r="A32" s="17"/>
      <c r="B32" s="1"/>
      <c r="C32" s="2"/>
      <c r="D32" s="2"/>
      <c r="E32" s="56"/>
      <c r="F32" s="4"/>
      <c r="G32" s="5"/>
      <c r="H32" s="8"/>
    </row>
    <row r="33" spans="1:8" x14ac:dyDescent="0.35">
      <c r="A33" s="16"/>
      <c r="B33" s="5"/>
      <c r="C33" s="2"/>
      <c r="D33" s="2"/>
      <c r="E33" s="3"/>
      <c r="F33" s="4"/>
      <c r="G33" s="8">
        <f>+SUM(G31:G31)</f>
        <v>89753.42465753424</v>
      </c>
      <c r="H33" s="5"/>
    </row>
    <row r="34" spans="1:8" x14ac:dyDescent="0.35">
      <c r="A34" s="16"/>
      <c r="B34" s="5"/>
      <c r="C34" s="2"/>
      <c r="D34" s="2"/>
      <c r="E34" s="3"/>
      <c r="F34" s="4"/>
      <c r="G34" s="8"/>
      <c r="H34" s="5"/>
    </row>
    <row r="35" spans="1:8" x14ac:dyDescent="0.35">
      <c r="A35" s="17"/>
      <c r="B35" s="514" t="s">
        <v>42</v>
      </c>
      <c r="C35" s="515"/>
      <c r="D35" s="515"/>
      <c r="E35" s="515"/>
      <c r="F35" s="516"/>
      <c r="G35" s="8">
        <f>+G29+G33</f>
        <v>290702.46575342462</v>
      </c>
      <c r="H35" s="5"/>
    </row>
    <row r="36" spans="1:8" x14ac:dyDescent="0.35">
      <c r="A36" s="17"/>
      <c r="B36" s="514" t="s">
        <v>43</v>
      </c>
      <c r="C36" s="515"/>
      <c r="D36" s="515"/>
      <c r="E36" s="515"/>
      <c r="F36" s="516"/>
      <c r="G36" s="8">
        <f>+B31+B26</f>
        <v>1500000</v>
      </c>
      <c r="H36" s="5"/>
    </row>
    <row r="37" spans="1:8" x14ac:dyDescent="0.35">
      <c r="A37" s="15"/>
      <c r="B37" s="514" t="s">
        <v>58</v>
      </c>
      <c r="C37" s="515"/>
      <c r="D37" s="515"/>
      <c r="E37" s="515"/>
      <c r="F37" s="516"/>
      <c r="G37" s="55">
        <f>SUM(G35:G36)</f>
        <v>1790702.4657534247</v>
      </c>
      <c r="H37" s="1"/>
    </row>
    <row r="38" spans="1:8" x14ac:dyDescent="0.35">
      <c r="A38" s="48" t="s">
        <v>96</v>
      </c>
      <c r="B38" s="6"/>
      <c r="C38" s="6"/>
      <c r="D38" s="6"/>
      <c r="E38" s="6"/>
      <c r="F38" s="6"/>
      <c r="G38" s="38"/>
    </row>
    <row r="39" spans="1:8" x14ac:dyDescent="0.35">
      <c r="B39" s="6"/>
      <c r="C39" s="6"/>
      <c r="D39" s="6"/>
      <c r="E39" s="6"/>
      <c r="F39" s="6"/>
      <c r="G39" s="38"/>
    </row>
    <row r="40" spans="1:8" ht="15" thickBot="1" x14ac:dyDescent="0.4"/>
    <row r="41" spans="1:8" x14ac:dyDescent="0.35">
      <c r="A41" s="574" t="s">
        <v>114</v>
      </c>
      <c r="B41" s="563"/>
      <c r="C41" s="563"/>
      <c r="D41" s="563"/>
      <c r="E41" s="563"/>
      <c r="F41" s="563"/>
      <c r="G41" s="563"/>
      <c r="H41" s="575"/>
    </row>
    <row r="42" spans="1:8" ht="29" x14ac:dyDescent="0.35">
      <c r="A42" s="81" t="s">
        <v>1</v>
      </c>
      <c r="B42" s="41" t="s">
        <v>7</v>
      </c>
      <c r="C42" s="41" t="s">
        <v>2</v>
      </c>
      <c r="D42" s="41" t="s">
        <v>3</v>
      </c>
      <c r="E42" s="41" t="s">
        <v>4</v>
      </c>
      <c r="F42" s="41" t="s">
        <v>24</v>
      </c>
      <c r="G42" s="41" t="s">
        <v>6</v>
      </c>
      <c r="H42" s="82" t="s">
        <v>25</v>
      </c>
    </row>
    <row r="43" spans="1:8" x14ac:dyDescent="0.35">
      <c r="A43" s="83"/>
      <c r="B43" s="12" t="s">
        <v>8</v>
      </c>
      <c r="C43" s="1"/>
      <c r="D43" s="1"/>
      <c r="E43" s="1"/>
      <c r="F43" s="1"/>
      <c r="G43" s="1"/>
      <c r="H43" s="84"/>
    </row>
    <row r="44" spans="1:8" ht="59.25" customHeight="1" x14ac:dyDescent="0.35">
      <c r="A44" s="104" t="s">
        <v>97</v>
      </c>
      <c r="B44" s="1">
        <v>1500000</v>
      </c>
      <c r="C44" s="2">
        <v>43936</v>
      </c>
      <c r="D44" s="2">
        <v>44235</v>
      </c>
      <c r="E44" s="59">
        <f>+D44-C44</f>
        <v>299</v>
      </c>
      <c r="F44" s="4">
        <v>0.18</v>
      </c>
      <c r="G44" s="5">
        <f>B44*E44*F44/365</f>
        <v>221178.08219178082</v>
      </c>
      <c r="H44" s="86">
        <f>+B44+G44</f>
        <v>1721178.0821917809</v>
      </c>
    </row>
    <row r="45" spans="1:8" x14ac:dyDescent="0.35">
      <c r="A45" s="576" t="s">
        <v>98</v>
      </c>
      <c r="B45" s="577"/>
      <c r="C45" s="577"/>
      <c r="D45" s="577"/>
      <c r="E45" s="577"/>
      <c r="F45" s="577"/>
      <c r="G45" s="578"/>
      <c r="H45" s="88">
        <f>+H44+G45</f>
        <v>1721178.0821917809</v>
      </c>
    </row>
    <row r="46" spans="1:8" x14ac:dyDescent="0.35">
      <c r="A46" s="87"/>
      <c r="B46" s="5"/>
      <c r="C46" s="2"/>
      <c r="D46" s="2" t="s">
        <v>94</v>
      </c>
      <c r="E46" s="58"/>
      <c r="F46" s="4"/>
      <c r="G46" s="5"/>
      <c r="H46" s="88"/>
    </row>
    <row r="47" spans="1:8" x14ac:dyDescent="0.35">
      <c r="A47" s="87"/>
      <c r="B47" s="5"/>
      <c r="C47" s="2"/>
      <c r="D47" s="2"/>
      <c r="E47" s="56"/>
      <c r="F47" s="4"/>
      <c r="G47" s="8">
        <f>+SUM(G44:G45)</f>
        <v>221178.08219178082</v>
      </c>
      <c r="H47" s="86"/>
    </row>
    <row r="48" spans="1:8" x14ac:dyDescent="0.35">
      <c r="A48" s="105"/>
      <c r="E48" s="106"/>
      <c r="H48" s="107"/>
    </row>
    <row r="49" spans="1:8" x14ac:dyDescent="0.35">
      <c r="A49" s="85">
        <v>43907</v>
      </c>
      <c r="B49" s="1">
        <v>500000</v>
      </c>
      <c r="C49" s="2">
        <v>43907</v>
      </c>
      <c r="D49" s="2">
        <v>44235</v>
      </c>
      <c r="E49" s="56">
        <f>+D49-C49</f>
        <v>328</v>
      </c>
      <c r="F49" s="4">
        <v>0.18</v>
      </c>
      <c r="G49" s="5">
        <f>B49*E49*F49/365</f>
        <v>80876.712328767127</v>
      </c>
      <c r="H49" s="88">
        <f>+B49+G49</f>
        <v>580876.71232876717</v>
      </c>
    </row>
    <row r="50" spans="1:8" x14ac:dyDescent="0.35">
      <c r="A50" s="85"/>
      <c r="B50" s="1"/>
      <c r="C50" s="2"/>
      <c r="D50" s="2"/>
      <c r="E50" s="56"/>
      <c r="F50" s="4"/>
      <c r="G50" s="5"/>
      <c r="H50" s="88"/>
    </row>
    <row r="51" spans="1:8" x14ac:dyDescent="0.35">
      <c r="A51" s="87"/>
      <c r="B51" s="5"/>
      <c r="C51" s="2"/>
      <c r="D51" s="2"/>
      <c r="E51" s="3"/>
      <c r="F51" s="4"/>
      <c r="G51" s="8">
        <f>+SUM(G49:G49)</f>
        <v>80876.712328767127</v>
      </c>
      <c r="H51" s="86"/>
    </row>
    <row r="52" spans="1:8" x14ac:dyDescent="0.35">
      <c r="A52" s="87"/>
      <c r="B52" s="5"/>
      <c r="C52" s="2"/>
      <c r="D52" s="2"/>
      <c r="E52" s="3"/>
      <c r="F52" s="4"/>
      <c r="G52" s="8"/>
      <c r="H52" s="86"/>
    </row>
    <row r="53" spans="1:8" x14ac:dyDescent="0.35">
      <c r="A53" s="85"/>
      <c r="B53" s="514" t="s">
        <v>42</v>
      </c>
      <c r="C53" s="515"/>
      <c r="D53" s="515"/>
      <c r="E53" s="515"/>
      <c r="F53" s="516"/>
      <c r="G53" s="8">
        <f>+G47+G51</f>
        <v>302054.79452054796</v>
      </c>
      <c r="H53" s="86"/>
    </row>
    <row r="54" spans="1:8" x14ac:dyDescent="0.35">
      <c r="A54" s="85"/>
      <c r="B54" s="514" t="s">
        <v>43</v>
      </c>
      <c r="C54" s="515"/>
      <c r="D54" s="515"/>
      <c r="E54" s="515"/>
      <c r="F54" s="516"/>
      <c r="G54" s="8">
        <f>+B49+B44</f>
        <v>2000000</v>
      </c>
      <c r="H54" s="86"/>
    </row>
    <row r="55" spans="1:8" ht="15" thickBot="1" x14ac:dyDescent="0.4">
      <c r="A55" s="108"/>
      <c r="B55" s="517" t="s">
        <v>58</v>
      </c>
      <c r="C55" s="518"/>
      <c r="D55" s="518"/>
      <c r="E55" s="518"/>
      <c r="F55" s="519"/>
      <c r="G55" s="90">
        <f>SUM(G53:G54)</f>
        <v>2302054.7945205481</v>
      </c>
      <c r="H55" s="109"/>
    </row>
  </sheetData>
  <mergeCells count="12">
    <mergeCell ref="B14:F14"/>
    <mergeCell ref="B15:F15"/>
    <mergeCell ref="B16:F16"/>
    <mergeCell ref="A1:H1"/>
    <mergeCell ref="B35:F35"/>
    <mergeCell ref="B36:F36"/>
    <mergeCell ref="B37:F37"/>
    <mergeCell ref="B53:F53"/>
    <mergeCell ref="B54:F54"/>
    <mergeCell ref="B55:F55"/>
    <mergeCell ref="A41:H41"/>
    <mergeCell ref="A45:G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workbookViewId="0">
      <selection activeCell="A2" sqref="A2:H2"/>
    </sheetView>
  </sheetViews>
  <sheetFormatPr defaultRowHeight="14.5" x14ac:dyDescent="0.35"/>
  <cols>
    <col min="2" max="2" width="13.6328125" customWidth="1"/>
    <col min="17" max="17" width="11.54296875" bestFit="1" customWidth="1"/>
  </cols>
  <sheetData>
    <row r="1" spans="1:17" ht="18" x14ac:dyDescent="0.35">
      <c r="A1" s="542"/>
      <c r="B1" s="542"/>
      <c r="C1" s="542"/>
      <c r="D1" s="542"/>
      <c r="E1" s="542"/>
      <c r="F1" s="542"/>
      <c r="G1" s="542"/>
    </row>
    <row r="2" spans="1:17" ht="14.4" x14ac:dyDescent="0.3">
      <c r="A2" s="579" t="s">
        <v>48</v>
      </c>
      <c r="B2" s="579"/>
      <c r="C2" s="579"/>
      <c r="D2" s="579"/>
      <c r="E2" s="579"/>
      <c r="F2" s="579"/>
      <c r="G2" s="579"/>
      <c r="H2" s="579"/>
    </row>
    <row r="3" spans="1:17" ht="28.75" x14ac:dyDescent="0.3">
      <c r="A3" s="41" t="s">
        <v>1</v>
      </c>
      <c r="B3" s="41" t="s">
        <v>47</v>
      </c>
      <c r="C3" s="41" t="s">
        <v>2</v>
      </c>
      <c r="D3" s="41" t="s">
        <v>3</v>
      </c>
      <c r="E3" s="41" t="s">
        <v>4</v>
      </c>
      <c r="F3" s="41" t="s">
        <v>24</v>
      </c>
      <c r="G3" s="41" t="s">
        <v>6</v>
      </c>
      <c r="H3" s="41" t="s">
        <v>26</v>
      </c>
    </row>
    <row r="4" spans="1:17" ht="14.4" x14ac:dyDescent="0.3">
      <c r="A4" s="15"/>
      <c r="B4" s="12" t="s">
        <v>8</v>
      </c>
      <c r="C4" s="1"/>
      <c r="D4" s="1"/>
      <c r="E4" s="1"/>
      <c r="F4" s="1"/>
      <c r="G4" s="1"/>
      <c r="H4" s="1"/>
      <c r="Q4">
        <v>1000000</v>
      </c>
    </row>
    <row r="5" spans="1:17" ht="14.4" x14ac:dyDescent="0.3">
      <c r="A5" s="17">
        <v>43190</v>
      </c>
      <c r="B5" s="1">
        <v>45100</v>
      </c>
      <c r="C5" s="2">
        <v>43555</v>
      </c>
      <c r="D5" s="2">
        <v>43911</v>
      </c>
      <c r="E5" s="59">
        <f>+D5-C5</f>
        <v>356</v>
      </c>
      <c r="F5" s="4">
        <v>0.18</v>
      </c>
      <c r="G5" s="5">
        <f>B5*E5*F5/365</f>
        <v>7917.8301369863011</v>
      </c>
      <c r="H5" s="55">
        <f>+B5+G5</f>
        <v>53017.830136986304</v>
      </c>
      <c r="J5">
        <f>B5*0.18</f>
        <v>8118</v>
      </c>
      <c r="O5" s="2">
        <v>42180</v>
      </c>
      <c r="P5" s="2">
        <v>42379</v>
      </c>
      <c r="Q5" s="59">
        <f>+P5-O5</f>
        <v>199</v>
      </c>
    </row>
    <row r="6" spans="1:17" ht="14.4" x14ac:dyDescent="0.3">
      <c r="A6" s="6"/>
      <c r="J6">
        <f>B5+J5</f>
        <v>53218</v>
      </c>
      <c r="Q6" s="73">
        <f>+Q4*0.24*Q5/365</f>
        <v>130849.31506849315</v>
      </c>
    </row>
    <row r="7" spans="1:17" ht="14.4" x14ac:dyDescent="0.3">
      <c r="A7" s="579" t="s">
        <v>50</v>
      </c>
      <c r="B7" s="579"/>
      <c r="C7" s="579"/>
      <c r="D7" s="579"/>
      <c r="E7" s="579"/>
      <c r="F7" s="579"/>
      <c r="G7" s="579"/>
      <c r="H7" s="579"/>
    </row>
    <row r="8" spans="1:17" ht="28.75" x14ac:dyDescent="0.3">
      <c r="A8" s="41" t="s">
        <v>1</v>
      </c>
      <c r="B8" s="41" t="s">
        <v>49</v>
      </c>
      <c r="C8" s="41" t="s">
        <v>2</v>
      </c>
      <c r="D8" s="41" t="s">
        <v>3</v>
      </c>
      <c r="E8" s="41" t="s">
        <v>4</v>
      </c>
      <c r="F8" s="41" t="s">
        <v>24</v>
      </c>
      <c r="G8" s="41" t="s">
        <v>6</v>
      </c>
      <c r="H8" s="41" t="s">
        <v>26</v>
      </c>
      <c r="J8" s="18">
        <f>J6*F5*E5/365</f>
        <v>9343.0395616438364</v>
      </c>
      <c r="L8">
        <f>J6*F5</f>
        <v>9579.24</v>
      </c>
    </row>
    <row r="9" spans="1:17" ht="14.4" x14ac:dyDescent="0.3">
      <c r="A9" s="15"/>
      <c r="B9" s="12"/>
      <c r="C9" s="1"/>
      <c r="D9" s="1"/>
      <c r="E9" s="1"/>
      <c r="F9" s="1"/>
      <c r="G9" s="1"/>
      <c r="H9" s="1"/>
    </row>
    <row r="10" spans="1:17" ht="14.4" x14ac:dyDescent="0.3">
      <c r="A10" s="17">
        <v>42867</v>
      </c>
      <c r="B10" s="1">
        <v>49000</v>
      </c>
      <c r="C10" s="2">
        <v>42913</v>
      </c>
      <c r="D10" s="2">
        <v>43190</v>
      </c>
      <c r="E10" s="59">
        <f>+D10-C10</f>
        <v>277</v>
      </c>
      <c r="F10" s="4">
        <v>0.18</v>
      </c>
      <c r="G10" s="5">
        <f>B10*E10*F10/365</f>
        <v>6693.5342465753429</v>
      </c>
      <c r="H10" s="55">
        <f>+B10+G10</f>
        <v>55693.534246575342</v>
      </c>
      <c r="J10">
        <f>SUM(J6:J8)</f>
        <v>62561.039561643833</v>
      </c>
    </row>
    <row r="11" spans="1:17" ht="14.4" x14ac:dyDescent="0.3">
      <c r="A11" s="17">
        <v>43190</v>
      </c>
      <c r="B11" s="1">
        <v>28220</v>
      </c>
      <c r="C11" s="2">
        <v>43190</v>
      </c>
      <c r="D11" s="2">
        <v>43911</v>
      </c>
      <c r="E11" s="59">
        <f>+D11-C11</f>
        <v>721</v>
      </c>
      <c r="F11" s="4">
        <v>0.18</v>
      </c>
      <c r="G11" s="5">
        <f>B11*E11*F11/365</f>
        <v>10033.949589041096</v>
      </c>
      <c r="H11" s="55">
        <f>+B11+G11</f>
        <v>38253.949589041098</v>
      </c>
    </row>
    <row r="12" spans="1:17" x14ac:dyDescent="0.35">
      <c r="A12" s="1" t="s">
        <v>22</v>
      </c>
      <c r="B12" s="1">
        <f>SUM(B10:B11)</f>
        <v>77220</v>
      </c>
      <c r="C12" s="1"/>
      <c r="D12" s="1"/>
      <c r="E12" s="1"/>
      <c r="F12" s="1"/>
      <c r="G12" s="5">
        <f>SUM(G10:G11)</f>
        <v>16727.48383561644</v>
      </c>
      <c r="H12" s="62">
        <f>SUM(H10:H11)</f>
        <v>93947.48383561644</v>
      </c>
    </row>
    <row r="17" spans="10:11" x14ac:dyDescent="0.35">
      <c r="J17" t="s">
        <v>77</v>
      </c>
    </row>
    <row r="19" spans="10:11" x14ac:dyDescent="0.35">
      <c r="J19" s="46">
        <v>42951</v>
      </c>
      <c r="K19">
        <v>300000</v>
      </c>
    </row>
    <row r="20" spans="10:11" x14ac:dyDescent="0.35">
      <c r="J20" s="46">
        <v>42953</v>
      </c>
      <c r="K20">
        <v>300000</v>
      </c>
    </row>
    <row r="22" spans="10:11" x14ac:dyDescent="0.35">
      <c r="J22" s="46">
        <v>43062</v>
      </c>
      <c r="K22">
        <v>100000</v>
      </c>
    </row>
    <row r="23" spans="10:11" x14ac:dyDescent="0.35">
      <c r="J23" s="46">
        <v>43210</v>
      </c>
      <c r="K23">
        <v>100000</v>
      </c>
    </row>
    <row r="24" spans="10:11" x14ac:dyDescent="0.35">
      <c r="J24" s="46">
        <v>43269</v>
      </c>
      <c r="K24">
        <v>100000</v>
      </c>
    </row>
    <row r="25" spans="10:11" x14ac:dyDescent="0.35">
      <c r="J25" s="46">
        <v>43701</v>
      </c>
      <c r="K25">
        <v>250000</v>
      </c>
    </row>
    <row r="26" spans="10:11" x14ac:dyDescent="0.35">
      <c r="J26" s="46">
        <v>43516</v>
      </c>
      <c r="K26">
        <v>250000</v>
      </c>
    </row>
  </sheetData>
  <mergeCells count="3">
    <mergeCell ref="A1:G1"/>
    <mergeCell ref="A2:H2"/>
    <mergeCell ref="A7:H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0"/>
  <sheetViews>
    <sheetView topLeftCell="A19" workbookViewId="0">
      <selection activeCell="H40" sqref="H40"/>
    </sheetView>
  </sheetViews>
  <sheetFormatPr defaultRowHeight="14.5" x14ac:dyDescent="0.35"/>
  <cols>
    <col min="1" max="1" width="10.6328125" style="6" bestFit="1" customWidth="1"/>
    <col min="2" max="2" width="15.36328125" bestFit="1" customWidth="1"/>
    <col min="3" max="3" width="10.54296875" customWidth="1"/>
    <col min="4" max="4" width="10.90625" customWidth="1"/>
    <col min="7" max="7" width="15.6328125" bestFit="1" customWidth="1"/>
    <col min="8" max="8" width="12" bestFit="1" customWidth="1"/>
  </cols>
  <sheetData>
    <row r="1" spans="1:14" ht="14.4" x14ac:dyDescent="0.3">
      <c r="A1"/>
    </row>
    <row r="2" spans="1:14" ht="18" x14ac:dyDescent="0.35">
      <c r="A2" s="542" t="s">
        <v>90</v>
      </c>
      <c r="B2" s="542"/>
      <c r="C2" s="542"/>
      <c r="D2" s="542"/>
      <c r="E2" s="542"/>
      <c r="F2" s="542"/>
      <c r="G2" s="542"/>
      <c r="H2" s="542"/>
    </row>
    <row r="4" spans="1:14" ht="21" x14ac:dyDescent="0.4">
      <c r="A4" s="520" t="s">
        <v>8</v>
      </c>
      <c r="B4" s="521"/>
      <c r="C4" s="521"/>
      <c r="D4" s="521"/>
      <c r="E4" s="521"/>
      <c r="F4" s="521"/>
      <c r="G4" s="521"/>
      <c r="H4" s="522"/>
    </row>
    <row r="5" spans="1:14" s="10" customFormat="1" ht="14.4" x14ac:dyDescent="0.3">
      <c r="A5" s="12" t="s">
        <v>1</v>
      </c>
      <c r="B5" s="12" t="s">
        <v>7</v>
      </c>
      <c r="C5" s="12" t="s">
        <v>2</v>
      </c>
      <c r="D5" s="12" t="s">
        <v>3</v>
      </c>
      <c r="E5" s="12" t="s">
        <v>4</v>
      </c>
      <c r="F5" s="12" t="s">
        <v>24</v>
      </c>
      <c r="G5" s="12" t="s">
        <v>6</v>
      </c>
      <c r="H5" s="12" t="s">
        <v>25</v>
      </c>
    </row>
    <row r="6" spans="1:14" ht="14.4" x14ac:dyDescent="0.3">
      <c r="A6" s="64">
        <v>42636</v>
      </c>
      <c r="B6" s="1">
        <v>5000000</v>
      </c>
      <c r="C6" s="2">
        <v>42636</v>
      </c>
      <c r="D6" s="2">
        <v>42825</v>
      </c>
      <c r="E6" s="3">
        <f>+D6-C6</f>
        <v>189</v>
      </c>
      <c r="F6" s="4"/>
      <c r="G6" s="80">
        <v>433000</v>
      </c>
      <c r="H6" s="5">
        <f>+B6+G6</f>
        <v>5433000</v>
      </c>
    </row>
    <row r="7" spans="1:14" ht="14.4" x14ac:dyDescent="0.3">
      <c r="A7" s="64">
        <v>42843</v>
      </c>
      <c r="B7" s="514" t="s">
        <v>79</v>
      </c>
      <c r="C7" s="515"/>
      <c r="D7" s="515"/>
      <c r="E7" s="515"/>
      <c r="F7" s="516"/>
      <c r="G7" s="80">
        <v>-433000</v>
      </c>
      <c r="H7" s="5">
        <f>+H6+G7</f>
        <v>5000000</v>
      </c>
    </row>
    <row r="8" spans="1:14" ht="14.4" x14ac:dyDescent="0.3">
      <c r="A8" s="16">
        <v>42826</v>
      </c>
      <c r="B8" s="5">
        <f>+H7</f>
        <v>5000000</v>
      </c>
      <c r="C8" s="2">
        <v>42826</v>
      </c>
      <c r="D8" s="2">
        <v>43122</v>
      </c>
      <c r="E8" s="3">
        <f t="shared" ref="E8" si="0">+D8-C8</f>
        <v>296</v>
      </c>
      <c r="F8" s="4">
        <v>0.21</v>
      </c>
      <c r="G8" s="5">
        <f>B8*E8*F8/365</f>
        <v>851506.84931506845</v>
      </c>
      <c r="H8" s="5">
        <f t="shared" ref="H8" si="1">+B8+G8</f>
        <v>5851506.8493150687</v>
      </c>
    </row>
    <row r="9" spans="1:14" ht="14.4" x14ac:dyDescent="0.3">
      <c r="A9" s="16"/>
      <c r="B9" s="5"/>
      <c r="C9" s="2"/>
      <c r="D9" s="2"/>
      <c r="E9" s="3"/>
      <c r="F9" s="4"/>
      <c r="G9" s="5"/>
      <c r="H9" s="5"/>
      <c r="J9">
        <v>5000000</v>
      </c>
      <c r="K9" s="46">
        <v>42826</v>
      </c>
      <c r="L9" s="46">
        <v>42908</v>
      </c>
      <c r="M9">
        <f>L9-K9</f>
        <v>82</v>
      </c>
      <c r="N9">
        <f>J9*0.21*M9/365</f>
        <v>235890.4109589041</v>
      </c>
    </row>
    <row r="10" spans="1:14" ht="14.4" x14ac:dyDescent="0.3">
      <c r="A10" s="16"/>
      <c r="B10" s="8">
        <f>+B6</f>
        <v>5000000</v>
      </c>
      <c r="C10" s="528" t="s">
        <v>10</v>
      </c>
      <c r="D10" s="529"/>
      <c r="E10" s="529"/>
      <c r="F10" s="530"/>
      <c r="G10" s="55">
        <f>+SUM(G6:G9)</f>
        <v>851506.84931506845</v>
      </c>
      <c r="H10" s="8">
        <f>+G10+B10</f>
        <v>5851506.8493150687</v>
      </c>
      <c r="J10">
        <v>2500000</v>
      </c>
      <c r="K10" s="46">
        <v>42908</v>
      </c>
      <c r="L10" s="46">
        <v>43121</v>
      </c>
      <c r="M10">
        <f>L10-K10</f>
        <v>213</v>
      </c>
      <c r="N10">
        <f>J10*0.21*M10/365</f>
        <v>306369.8630136986</v>
      </c>
    </row>
    <row r="11" spans="1:14" ht="14.4" x14ac:dyDescent="0.3">
      <c r="N11">
        <f>SUM(N9:N10)</f>
        <v>542260.27397260268</v>
      </c>
    </row>
    <row r="12" spans="1:14" ht="21" x14ac:dyDescent="0.4">
      <c r="A12" s="520" t="s">
        <v>21</v>
      </c>
      <c r="B12" s="521"/>
      <c r="C12" s="521"/>
      <c r="D12" s="521"/>
      <c r="E12" s="521"/>
      <c r="F12" s="521"/>
      <c r="G12" s="521"/>
      <c r="H12" s="522"/>
    </row>
    <row r="13" spans="1:14" s="6" customFormat="1" ht="14.4" x14ac:dyDescent="0.3">
      <c r="A13" s="12" t="s">
        <v>1</v>
      </c>
      <c r="B13" s="12" t="s">
        <v>7</v>
      </c>
      <c r="C13" s="12" t="s">
        <v>2</v>
      </c>
      <c r="D13" s="12" t="s">
        <v>3</v>
      </c>
      <c r="E13" s="12" t="s">
        <v>4</v>
      </c>
      <c r="F13" s="12" t="s">
        <v>5</v>
      </c>
      <c r="G13" s="12" t="s">
        <v>6</v>
      </c>
      <c r="H13" s="12"/>
    </row>
    <row r="14" spans="1:14" ht="14.4" x14ac:dyDescent="0.3">
      <c r="A14" s="63">
        <v>42908</v>
      </c>
      <c r="B14" s="1">
        <v>2500000</v>
      </c>
      <c r="C14" s="2">
        <v>42908</v>
      </c>
      <c r="D14" s="2">
        <v>43122</v>
      </c>
      <c r="E14" s="3">
        <f>+D14-C14</f>
        <v>214</v>
      </c>
      <c r="F14" s="4">
        <v>0.21</v>
      </c>
      <c r="G14" s="5">
        <f>B14*E14*F14/365</f>
        <v>307808.21917808219</v>
      </c>
      <c r="H14" s="5">
        <f>+B14+G14</f>
        <v>2807808.2191780824</v>
      </c>
    </row>
    <row r="15" spans="1:14" ht="14.4" x14ac:dyDescent="0.3">
      <c r="A15" s="17">
        <v>43122</v>
      </c>
      <c r="B15" s="5">
        <v>3000000</v>
      </c>
      <c r="C15" s="2">
        <v>43122</v>
      </c>
      <c r="D15" s="2">
        <v>43122</v>
      </c>
      <c r="E15" s="3">
        <f>+D15-C15</f>
        <v>0</v>
      </c>
      <c r="F15" s="4">
        <v>0.21</v>
      </c>
      <c r="G15" s="5">
        <f>B15*E15*F15/365</f>
        <v>0</v>
      </c>
      <c r="H15" s="5">
        <f>+B15+G15</f>
        <v>3000000</v>
      </c>
    </row>
    <row r="16" spans="1:14" ht="14.4" x14ac:dyDescent="0.3">
      <c r="A16" s="17"/>
      <c r="B16" s="1"/>
      <c r="C16" s="2"/>
      <c r="D16" s="2"/>
      <c r="E16" s="3"/>
      <c r="F16" s="4"/>
      <c r="G16" s="5"/>
      <c r="H16" s="5"/>
    </row>
    <row r="17" spans="1:8" ht="14.4" x14ac:dyDescent="0.3">
      <c r="A17" s="15"/>
      <c r="B17" s="8"/>
      <c r="C17" s="528" t="s">
        <v>11</v>
      </c>
      <c r="D17" s="529"/>
      <c r="E17" s="529"/>
      <c r="F17" s="530"/>
      <c r="G17" s="55">
        <f>+SUM(G14:G16)</f>
        <v>307808.21917808219</v>
      </c>
      <c r="H17" s="8">
        <f>+SUM(H16:H16)</f>
        <v>0</v>
      </c>
    </row>
    <row r="19" spans="1:8" ht="14.4" x14ac:dyDescent="0.3">
      <c r="A19" s="570" t="s">
        <v>15</v>
      </c>
      <c r="B19" s="570"/>
      <c r="C19" s="570"/>
      <c r="D19" s="570"/>
      <c r="E19" s="570"/>
      <c r="F19" s="570"/>
      <c r="G19" s="14"/>
    </row>
    <row r="20" spans="1:8" ht="14.4" x14ac:dyDescent="0.3">
      <c r="A20" s="12"/>
      <c r="B20" s="539"/>
      <c r="C20" s="540"/>
      <c r="D20" s="12" t="s">
        <v>8</v>
      </c>
      <c r="E20" s="543" t="s">
        <v>21</v>
      </c>
      <c r="F20" s="543"/>
    </row>
    <row r="21" spans="1:8" ht="14.4" x14ac:dyDescent="0.3">
      <c r="A21" s="17">
        <v>42826</v>
      </c>
      <c r="B21" s="566" t="s">
        <v>8</v>
      </c>
      <c r="C21" s="566"/>
      <c r="D21" s="15">
        <v>5000000</v>
      </c>
      <c r="E21" s="566"/>
      <c r="F21" s="566"/>
      <c r="G21" s="14"/>
    </row>
    <row r="22" spans="1:8" ht="14.4" x14ac:dyDescent="0.3">
      <c r="A22" s="15"/>
      <c r="B22" s="566" t="s">
        <v>28</v>
      </c>
      <c r="C22" s="566"/>
      <c r="D22" s="54">
        <f>+G10</f>
        <v>851506.84931506845</v>
      </c>
      <c r="E22" s="566"/>
      <c r="F22" s="566"/>
    </row>
    <row r="23" spans="1:8" ht="14.4" x14ac:dyDescent="0.3">
      <c r="A23" s="15" t="s">
        <v>20</v>
      </c>
      <c r="B23" s="566"/>
      <c r="C23" s="566"/>
      <c r="D23" s="15"/>
      <c r="E23" s="566"/>
      <c r="F23" s="566"/>
    </row>
    <row r="24" spans="1:8" ht="14.4" x14ac:dyDescent="0.3">
      <c r="A24" s="63">
        <v>42908</v>
      </c>
      <c r="B24" s="566" t="s">
        <v>21</v>
      </c>
      <c r="C24" s="566"/>
      <c r="D24" s="15"/>
      <c r="E24" s="566">
        <f>+B14</f>
        <v>2500000</v>
      </c>
      <c r="F24" s="566"/>
      <c r="H24" s="14">
        <f>G10-G17</f>
        <v>543698.63013698626</v>
      </c>
    </row>
    <row r="25" spans="1:8" ht="14.4" x14ac:dyDescent="0.3">
      <c r="A25" s="17">
        <v>43122</v>
      </c>
      <c r="B25" s="566" t="s">
        <v>21</v>
      </c>
      <c r="C25" s="566"/>
      <c r="D25" s="15"/>
      <c r="E25" s="566">
        <v>3000000</v>
      </c>
      <c r="F25" s="566"/>
    </row>
    <row r="26" spans="1:8" ht="14.4" x14ac:dyDescent="0.3">
      <c r="A26" s="17"/>
      <c r="B26" s="566" t="s">
        <v>28</v>
      </c>
      <c r="C26" s="566"/>
      <c r="D26" s="15"/>
      <c r="E26" s="568">
        <f>+G17</f>
        <v>307808.21917808219</v>
      </c>
      <c r="F26" s="568"/>
    </row>
    <row r="27" spans="1:8" ht="14.4" x14ac:dyDescent="0.3">
      <c r="A27" s="15"/>
      <c r="B27" s="566"/>
      <c r="C27" s="566"/>
      <c r="D27" s="15"/>
      <c r="E27" s="566"/>
      <c r="F27" s="566"/>
      <c r="G27" s="11"/>
    </row>
    <row r="28" spans="1:8" ht="14.4" x14ac:dyDescent="0.3">
      <c r="A28" s="15"/>
      <c r="B28" s="566" t="s">
        <v>22</v>
      </c>
      <c r="C28" s="566"/>
      <c r="D28" s="54">
        <f>+SUM(D21:D27)</f>
        <v>5851506.8493150687</v>
      </c>
      <c r="E28" s="568">
        <f>SUM(E21:F26)</f>
        <v>5807808.2191780824</v>
      </c>
      <c r="F28" s="568"/>
    </row>
    <row r="29" spans="1:8" ht="14.4" x14ac:dyDescent="0.3">
      <c r="A29" s="65"/>
      <c r="B29" s="567" t="s">
        <v>56</v>
      </c>
      <c r="C29" s="567"/>
      <c r="D29" s="66"/>
      <c r="E29" s="569">
        <f>+D28-E28</f>
        <v>43698.630136986263</v>
      </c>
      <c r="F29" s="569"/>
    </row>
    <row r="31" spans="1:8" ht="14.4" x14ac:dyDescent="0.3">
      <c r="A31" s="571" t="s">
        <v>76</v>
      </c>
      <c r="B31" s="572"/>
      <c r="C31" s="572"/>
      <c r="D31" s="572"/>
      <c r="E31" s="572"/>
      <c r="F31" s="573"/>
    </row>
    <row r="32" spans="1:8" ht="14.4" x14ac:dyDescent="0.3">
      <c r="A32" s="17">
        <v>43188</v>
      </c>
      <c r="B32" s="514" t="s">
        <v>54</v>
      </c>
      <c r="C32" s="516"/>
      <c r="D32" s="1" t="s">
        <v>55</v>
      </c>
      <c r="E32" s="1"/>
      <c r="F32" s="1">
        <v>21532</v>
      </c>
    </row>
    <row r="33" spans="1:6" x14ac:dyDescent="0.35">
      <c r="A33" s="17">
        <v>43167</v>
      </c>
      <c r="B33" s="1" t="s">
        <v>53</v>
      </c>
      <c r="C33" s="1"/>
      <c r="D33" s="1" t="s">
        <v>51</v>
      </c>
      <c r="E33" s="1"/>
      <c r="F33" s="1">
        <v>14375</v>
      </c>
    </row>
    <row r="34" spans="1:6" x14ac:dyDescent="0.35">
      <c r="A34" s="17">
        <v>43675</v>
      </c>
      <c r="B34" s="1" t="s">
        <v>52</v>
      </c>
      <c r="C34" s="1"/>
      <c r="D34" s="1" t="s">
        <v>35</v>
      </c>
      <c r="E34" s="1"/>
      <c r="F34" s="1">
        <v>13114</v>
      </c>
    </row>
    <row r="35" spans="1:6" x14ac:dyDescent="0.35">
      <c r="A35" s="514"/>
      <c r="B35" s="515"/>
      <c r="C35" s="515"/>
      <c r="D35" s="515"/>
      <c r="E35" s="515"/>
      <c r="F35" s="516"/>
    </row>
    <row r="36" spans="1:6" x14ac:dyDescent="0.35">
      <c r="A36" s="539" t="s">
        <v>57</v>
      </c>
      <c r="B36" s="541"/>
      <c r="C36" s="541"/>
      <c r="D36" s="541"/>
      <c r="E36" s="540"/>
      <c r="F36" s="7">
        <f>SUM(F32:F35)</f>
        <v>49021</v>
      </c>
    </row>
    <row r="40" spans="1:6" x14ac:dyDescent="0.35">
      <c r="E40" s="14">
        <f>E29-F36</f>
        <v>-5322.3698630137369</v>
      </c>
    </row>
  </sheetData>
  <mergeCells count="31">
    <mergeCell ref="A19:F19"/>
    <mergeCell ref="A2:H2"/>
    <mergeCell ref="A4:H4"/>
    <mergeCell ref="C10:F10"/>
    <mergeCell ref="A12:H12"/>
    <mergeCell ref="C17:F17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A35:F35"/>
    <mergeCell ref="A36:E36"/>
    <mergeCell ref="B7:F7"/>
    <mergeCell ref="B28:C28"/>
    <mergeCell ref="E28:F28"/>
    <mergeCell ref="B29:C29"/>
    <mergeCell ref="E29:F29"/>
    <mergeCell ref="A31:F31"/>
    <mergeCell ref="B32:C32"/>
    <mergeCell ref="B26:C26"/>
    <mergeCell ref="E26:F26"/>
    <mergeCell ref="B27:C27"/>
    <mergeCell ref="E27:F27"/>
    <mergeCell ref="B23:C23"/>
    <mergeCell ref="E23:F23"/>
    <mergeCell ref="B24:C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workbookViewId="0">
      <selection activeCell="H14" sqref="H14"/>
    </sheetView>
  </sheetViews>
  <sheetFormatPr defaultRowHeight="14.5" x14ac:dyDescent="0.35"/>
  <cols>
    <col min="1" max="1" width="9.54296875" bestFit="1" customWidth="1"/>
    <col min="2" max="2" width="8" bestFit="1" customWidth="1"/>
    <col min="3" max="4" width="9.54296875" bestFit="1" customWidth="1"/>
    <col min="5" max="5" width="5.08984375" bestFit="1" customWidth="1"/>
    <col min="6" max="6" width="8.54296875" bestFit="1" customWidth="1"/>
    <col min="7" max="7" width="8" bestFit="1" customWidth="1"/>
    <col min="8" max="8" width="7.453125" bestFit="1" customWidth="1"/>
    <col min="9" max="9" width="8.6328125" bestFit="1" customWidth="1"/>
    <col min="11" max="11" width="10.08984375" bestFit="1" customWidth="1"/>
  </cols>
  <sheetData>
    <row r="1" spans="1:11" ht="18" x14ac:dyDescent="0.35">
      <c r="A1" s="542" t="s">
        <v>91</v>
      </c>
      <c r="B1" s="542"/>
      <c r="C1" s="542"/>
      <c r="D1" s="542"/>
      <c r="E1" s="542"/>
      <c r="F1" s="542"/>
      <c r="G1" s="542"/>
      <c r="H1" s="542"/>
      <c r="I1" s="542"/>
    </row>
    <row r="2" spans="1:11" ht="14.4" x14ac:dyDescent="0.3">
      <c r="A2" s="6"/>
    </row>
    <row r="3" spans="1:11" ht="28.75" x14ac:dyDescent="0.3">
      <c r="A3" s="41" t="s">
        <v>1</v>
      </c>
      <c r="B3" s="41" t="s">
        <v>7</v>
      </c>
      <c r="C3" s="41" t="s">
        <v>2</v>
      </c>
      <c r="D3" s="41" t="s">
        <v>3</v>
      </c>
      <c r="E3" s="41" t="s">
        <v>4</v>
      </c>
      <c r="F3" s="41" t="s">
        <v>24</v>
      </c>
      <c r="G3" s="41" t="s">
        <v>6</v>
      </c>
      <c r="H3" s="41" t="s">
        <v>79</v>
      </c>
      <c r="I3" s="41" t="s">
        <v>25</v>
      </c>
    </row>
    <row r="4" spans="1:11" ht="14.4" x14ac:dyDescent="0.3">
      <c r="A4" s="15"/>
      <c r="B4" s="12" t="s">
        <v>8</v>
      </c>
      <c r="C4" s="1"/>
      <c r="D4" s="1"/>
      <c r="E4" s="1"/>
      <c r="F4" s="1"/>
      <c r="G4" s="1"/>
      <c r="H4" s="1"/>
      <c r="I4" s="1"/>
    </row>
    <row r="5" spans="1:11" ht="14.4" x14ac:dyDescent="0.3">
      <c r="A5" s="17">
        <v>43152</v>
      </c>
      <c r="B5" s="1">
        <v>1500000</v>
      </c>
      <c r="C5" s="2">
        <v>43152</v>
      </c>
      <c r="D5" s="2">
        <v>43517</v>
      </c>
      <c r="E5" s="59">
        <f>+D5-C5</f>
        <v>365</v>
      </c>
      <c r="F5" s="4">
        <v>0.24</v>
      </c>
      <c r="G5" s="5">
        <f>B5*E5*F5/365</f>
        <v>360000</v>
      </c>
      <c r="H5" s="5"/>
      <c r="I5" s="5">
        <f>+B5+G5</f>
        <v>1860000</v>
      </c>
      <c r="K5" s="73">
        <f>G5*F5*E6/365</f>
        <v>14202.739726027397</v>
      </c>
    </row>
    <row r="6" spans="1:11" ht="14.4" x14ac:dyDescent="0.3">
      <c r="A6" s="16"/>
      <c r="B6" s="5">
        <f>+I5</f>
        <v>1860000</v>
      </c>
      <c r="C6" s="2">
        <f>+D5</f>
        <v>43517</v>
      </c>
      <c r="D6" s="2">
        <v>43577</v>
      </c>
      <c r="E6" s="58">
        <f t="shared" ref="E6:E8" si="0">+D6-C6</f>
        <v>60</v>
      </c>
      <c r="F6" s="4">
        <v>0.24</v>
      </c>
      <c r="G6" s="5">
        <v>74400</v>
      </c>
      <c r="H6" s="5">
        <v>434400</v>
      </c>
      <c r="I6" s="5">
        <f>+B6+G6-H6</f>
        <v>1500000</v>
      </c>
      <c r="K6">
        <v>434400</v>
      </c>
    </row>
    <row r="7" spans="1:11" ht="14.4" x14ac:dyDescent="0.3">
      <c r="A7" s="16"/>
      <c r="B7" s="5"/>
      <c r="C7" s="528" t="s">
        <v>135</v>
      </c>
      <c r="D7" s="529"/>
      <c r="E7" s="530"/>
      <c r="F7" s="4"/>
      <c r="G7" s="5"/>
      <c r="H7" s="5"/>
      <c r="I7" s="5"/>
    </row>
    <row r="8" spans="1:11" ht="14.4" x14ac:dyDescent="0.3">
      <c r="A8" s="16"/>
      <c r="B8" s="5">
        <f>+I6</f>
        <v>1500000</v>
      </c>
      <c r="C8" s="2">
        <f>+D6</f>
        <v>43577</v>
      </c>
      <c r="D8" s="2">
        <v>43942</v>
      </c>
      <c r="E8" s="58">
        <f t="shared" si="0"/>
        <v>365</v>
      </c>
      <c r="F8" s="4">
        <v>0.18</v>
      </c>
      <c r="G8" s="5">
        <f>I6*E8*F8/365</f>
        <v>270000</v>
      </c>
      <c r="H8" s="5"/>
      <c r="I8" s="5">
        <f>+I6+G8</f>
        <v>1770000</v>
      </c>
      <c r="K8" s="14">
        <f>K6-G5</f>
        <v>74400</v>
      </c>
    </row>
    <row r="9" spans="1:11" ht="14.4" x14ac:dyDescent="0.3">
      <c r="A9" s="16"/>
      <c r="B9" s="5">
        <f>+I8</f>
        <v>1770000</v>
      </c>
      <c r="C9" s="2">
        <v>43943</v>
      </c>
      <c r="D9" s="2">
        <v>44307</v>
      </c>
      <c r="E9" s="58">
        <f t="shared" ref="E9:E10" si="1">+D9-C9</f>
        <v>364</v>
      </c>
      <c r="F9" s="4">
        <v>0.18</v>
      </c>
      <c r="G9" s="5">
        <f t="shared" ref="G9:G10" si="2">I8*E9*F9/365</f>
        <v>317727.12328767125</v>
      </c>
      <c r="H9" s="5"/>
      <c r="I9" s="5">
        <f t="shared" ref="I9:I10" si="3">+I8+G9</f>
        <v>2087727.1232876712</v>
      </c>
    </row>
    <row r="10" spans="1:11" ht="14.4" x14ac:dyDescent="0.3">
      <c r="A10" s="16"/>
      <c r="B10" s="5"/>
      <c r="C10" s="2">
        <v>44308</v>
      </c>
      <c r="D10" s="2">
        <v>44377</v>
      </c>
      <c r="E10" s="58">
        <f t="shared" si="1"/>
        <v>69</v>
      </c>
      <c r="F10" s="4">
        <v>0.18</v>
      </c>
      <c r="G10" s="5">
        <f t="shared" si="2"/>
        <v>71039.920195158556</v>
      </c>
      <c r="H10" s="5"/>
      <c r="I10" s="5">
        <f t="shared" si="3"/>
        <v>2158767.0434828298</v>
      </c>
    </row>
    <row r="11" spans="1:11" ht="14.4" x14ac:dyDescent="0.3">
      <c r="A11" s="16"/>
      <c r="B11" s="5"/>
      <c r="C11" s="2"/>
      <c r="D11" s="2"/>
      <c r="E11" s="3"/>
      <c r="F11" s="4"/>
      <c r="G11" s="8"/>
      <c r="H11" s="8"/>
      <c r="I11" s="5"/>
    </row>
    <row r="12" spans="1:11" ht="14.4" x14ac:dyDescent="0.3">
      <c r="A12" s="17"/>
      <c r="B12" s="514" t="s">
        <v>42</v>
      </c>
      <c r="C12" s="515"/>
      <c r="D12" s="515"/>
      <c r="E12" s="515"/>
      <c r="F12" s="516"/>
      <c r="G12" s="8">
        <f>+SUM(G8:G11)</f>
        <v>658767.04348282982</v>
      </c>
      <c r="H12" s="8"/>
      <c r="I12" s="5"/>
    </row>
    <row r="13" spans="1:11" x14ac:dyDescent="0.35">
      <c r="A13" s="17"/>
      <c r="B13" s="514" t="s">
        <v>43</v>
      </c>
      <c r="C13" s="515"/>
      <c r="D13" s="515"/>
      <c r="E13" s="515"/>
      <c r="F13" s="516"/>
      <c r="G13" s="8">
        <f>+B5</f>
        <v>1500000</v>
      </c>
      <c r="H13" s="8"/>
      <c r="I13" s="5"/>
    </row>
    <row r="14" spans="1:11" x14ac:dyDescent="0.35">
      <c r="A14" s="15"/>
      <c r="B14" s="539" t="s">
        <v>57</v>
      </c>
      <c r="C14" s="541"/>
      <c r="D14" s="541"/>
      <c r="E14" s="541"/>
      <c r="F14" s="540"/>
      <c r="G14" s="55">
        <f>SUM(G12:G13)</f>
        <v>2158767.0434828298</v>
      </c>
      <c r="H14" s="55"/>
      <c r="I14" s="1"/>
    </row>
  </sheetData>
  <mergeCells count="5">
    <mergeCell ref="A1:I1"/>
    <mergeCell ref="B12:F12"/>
    <mergeCell ref="B13:F13"/>
    <mergeCell ref="B14:F14"/>
    <mergeCell ref="C7:E7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O191"/>
  <sheetViews>
    <sheetView tabSelected="1" topLeftCell="A125" zoomScaleNormal="100" zoomScaleSheetLayoutView="100" workbookViewId="0">
      <selection activeCell="G119" sqref="G119"/>
    </sheetView>
  </sheetViews>
  <sheetFormatPr defaultRowHeight="14.5" x14ac:dyDescent="0.35"/>
  <cols>
    <col min="1" max="1" width="4.26953125" customWidth="1"/>
    <col min="2" max="2" width="12" style="6" bestFit="1" customWidth="1"/>
    <col min="3" max="3" width="17.90625" bestFit="1" customWidth="1"/>
    <col min="4" max="4" width="10.54296875" customWidth="1"/>
    <col min="5" max="5" width="10.90625" customWidth="1"/>
    <col min="6" max="6" width="6.54296875" bestFit="1" customWidth="1"/>
    <col min="7" max="7" width="9.36328125" bestFit="1" customWidth="1"/>
    <col min="8" max="8" width="9.453125" customWidth="1"/>
    <col min="9" max="9" width="8.36328125" customWidth="1"/>
    <col min="10" max="10" width="4.54296875" customWidth="1"/>
    <col min="11" max="11" width="7.81640625" customWidth="1"/>
    <col min="12" max="12" width="9.36328125" bestFit="1" customWidth="1"/>
    <col min="13" max="13" width="12.453125" bestFit="1" customWidth="1"/>
    <col min="14" max="14" width="9.36328125" bestFit="1" customWidth="1"/>
    <col min="15" max="16" width="10.6328125" bestFit="1" customWidth="1"/>
    <col min="17" max="17" width="10.08984375" bestFit="1" customWidth="1"/>
  </cols>
  <sheetData>
    <row r="1" spans="2:15" ht="18.5" x14ac:dyDescent="0.45">
      <c r="B1" s="542" t="s">
        <v>78</v>
      </c>
      <c r="C1" s="542"/>
      <c r="D1" s="542"/>
      <c r="E1" s="542"/>
      <c r="F1" s="542"/>
      <c r="G1" s="542"/>
      <c r="H1" s="542"/>
      <c r="I1" s="542"/>
      <c r="J1" s="542"/>
    </row>
    <row r="2" spans="2:15" x14ac:dyDescent="0.35">
      <c r="C2" s="20"/>
    </row>
    <row r="3" spans="2:15" s="43" customFormat="1" ht="29" x14ac:dyDescent="0.35">
      <c r="B3" s="12" t="s">
        <v>1</v>
      </c>
      <c r="C3" s="21" t="s">
        <v>7</v>
      </c>
      <c r="D3" s="12" t="s">
        <v>2</v>
      </c>
      <c r="E3" s="12" t="s">
        <v>3</v>
      </c>
      <c r="F3" s="12" t="s">
        <v>4</v>
      </c>
      <c r="G3" s="12" t="s">
        <v>24</v>
      </c>
      <c r="H3" s="41" t="s">
        <v>6</v>
      </c>
      <c r="I3" s="41" t="s">
        <v>79</v>
      </c>
      <c r="J3" s="12" t="s">
        <v>25</v>
      </c>
    </row>
    <row r="4" spans="2:15" x14ac:dyDescent="0.35">
      <c r="B4" s="15"/>
      <c r="C4" s="21" t="s">
        <v>8</v>
      </c>
      <c r="D4" s="1"/>
      <c r="E4" s="1"/>
      <c r="F4" s="1"/>
      <c r="G4" s="1"/>
      <c r="H4" s="1"/>
      <c r="I4" s="1"/>
      <c r="J4" s="1"/>
    </row>
    <row r="5" spans="2:15" x14ac:dyDescent="0.35">
      <c r="B5" s="63">
        <v>42636</v>
      </c>
      <c r="C5" s="22">
        <v>2500000</v>
      </c>
      <c r="D5" s="2">
        <v>42636</v>
      </c>
      <c r="E5" s="2">
        <f>D5+365</f>
        <v>43001</v>
      </c>
      <c r="F5" s="3">
        <f>+E5-D5</f>
        <v>365</v>
      </c>
      <c r="G5" s="4">
        <v>0.18</v>
      </c>
      <c r="H5" s="5">
        <f>C5*F5*G5/365</f>
        <v>450000</v>
      </c>
      <c r="I5" s="5">
        <v>0</v>
      </c>
      <c r="J5" s="5">
        <f>+C5+H5</f>
        <v>2950000</v>
      </c>
      <c r="M5" s="2">
        <v>43014</v>
      </c>
      <c r="N5" s="2">
        <v>43170</v>
      </c>
      <c r="O5" s="18">
        <f>+N5-M5</f>
        <v>156</v>
      </c>
    </row>
    <row r="6" spans="2:15" x14ac:dyDescent="0.35">
      <c r="B6" s="63" t="s">
        <v>28</v>
      </c>
      <c r="C6" s="23">
        <v>450000</v>
      </c>
      <c r="D6" s="2">
        <f>+E5</f>
        <v>43001</v>
      </c>
      <c r="E6" s="2">
        <v>43122</v>
      </c>
      <c r="F6" s="3">
        <f>+E6-D6</f>
        <v>121</v>
      </c>
      <c r="G6" s="4">
        <v>0.18</v>
      </c>
      <c r="H6" s="5">
        <v>27000</v>
      </c>
      <c r="I6" s="5">
        <v>477000</v>
      </c>
      <c r="J6" s="5">
        <f>+J5+H6-I6</f>
        <v>2500000</v>
      </c>
      <c r="M6" s="46"/>
      <c r="N6" s="46"/>
      <c r="O6" s="18"/>
    </row>
    <row r="7" spans="2:15" x14ac:dyDescent="0.35">
      <c r="B7" s="25"/>
      <c r="C7" s="23">
        <f>+J6</f>
        <v>2500000</v>
      </c>
      <c r="D7" s="2">
        <f>+E5</f>
        <v>43001</v>
      </c>
      <c r="E7" s="2">
        <v>43363</v>
      </c>
      <c r="F7" s="3">
        <v>365</v>
      </c>
      <c r="G7" s="4">
        <v>0.18</v>
      </c>
      <c r="H7" s="5">
        <f t="shared" ref="H7:H13" si="0">C7*F7*G7/365</f>
        <v>450000</v>
      </c>
      <c r="I7" s="5">
        <v>2500000</v>
      </c>
      <c r="J7" s="5">
        <f>+J6+H7-I7</f>
        <v>450000</v>
      </c>
    </row>
    <row r="8" spans="2:15" x14ac:dyDescent="0.35">
      <c r="B8" s="25"/>
      <c r="C8" s="23">
        <f>+J7</f>
        <v>450000</v>
      </c>
      <c r="D8" s="2">
        <f>+E7</f>
        <v>43363</v>
      </c>
      <c r="E8" s="2">
        <v>43539</v>
      </c>
      <c r="F8" s="3">
        <f t="shared" ref="F8" si="1">+E8-D8</f>
        <v>176</v>
      </c>
      <c r="G8" s="4">
        <v>0.18</v>
      </c>
      <c r="H8" s="5">
        <v>38460</v>
      </c>
      <c r="I8" s="5">
        <f>+C8+H8</f>
        <v>488460</v>
      </c>
      <c r="J8" s="62">
        <f>+J7+H8-I8</f>
        <v>0</v>
      </c>
      <c r="M8" s="14">
        <f>L12-H7</f>
        <v>38460.273972602736</v>
      </c>
    </row>
    <row r="9" spans="2:15" x14ac:dyDescent="0.35">
      <c r="B9" s="25"/>
      <c r="C9" s="23"/>
      <c r="D9" s="2"/>
      <c r="E9" s="2"/>
      <c r="F9" s="19"/>
      <c r="G9" s="4"/>
      <c r="H9" s="8">
        <f>+SUM(H5:H8)</f>
        <v>965460</v>
      </c>
      <c r="I9" s="8"/>
      <c r="J9" s="5"/>
    </row>
    <row r="10" spans="2:15" x14ac:dyDescent="0.35">
      <c r="B10" s="25"/>
      <c r="C10" s="22"/>
      <c r="D10" s="2"/>
      <c r="E10" s="2"/>
      <c r="F10" s="3"/>
      <c r="G10" s="4"/>
      <c r="H10" s="5"/>
      <c r="I10" s="5"/>
      <c r="J10" s="5"/>
    </row>
    <row r="11" spans="2:15" x14ac:dyDescent="0.35">
      <c r="B11" s="63">
        <v>43122</v>
      </c>
      <c r="C11" s="22">
        <v>2500000</v>
      </c>
      <c r="D11" s="2">
        <v>43122</v>
      </c>
      <c r="E11" s="2">
        <f>+D11+365</f>
        <v>43487</v>
      </c>
      <c r="F11" s="3">
        <f t="shared" ref="F11:F14" si="2">+E11-D11</f>
        <v>365</v>
      </c>
      <c r="G11" s="4">
        <v>0.18</v>
      </c>
      <c r="H11" s="5">
        <f t="shared" si="0"/>
        <v>450000</v>
      </c>
      <c r="I11" s="5"/>
      <c r="J11" s="5">
        <f>+C11+H11</f>
        <v>2950000</v>
      </c>
    </row>
    <row r="12" spans="2:15" x14ac:dyDescent="0.35">
      <c r="B12" s="63" t="s">
        <v>28</v>
      </c>
      <c r="C12" s="23">
        <f>+H11</f>
        <v>450000</v>
      </c>
      <c r="D12" s="2">
        <f>+E11</f>
        <v>43487</v>
      </c>
      <c r="E12" s="2">
        <v>43539</v>
      </c>
      <c r="F12" s="3">
        <f t="shared" si="2"/>
        <v>52</v>
      </c>
      <c r="G12" s="4">
        <v>0.18</v>
      </c>
      <c r="H12" s="5">
        <f t="shared" si="0"/>
        <v>11539.726027397261</v>
      </c>
      <c r="I12" s="5">
        <f>+H11+H12</f>
        <v>461539.72602739726</v>
      </c>
      <c r="J12" s="5">
        <f>+J11+H12-I12</f>
        <v>2500000</v>
      </c>
      <c r="L12" s="14">
        <f>+N13-I12</f>
        <v>488460.27397260274</v>
      </c>
      <c r="N12" s="14">
        <f>+J8+H11+H12</f>
        <v>461539.72602739726</v>
      </c>
    </row>
    <row r="13" spans="2:15" x14ac:dyDescent="0.35">
      <c r="B13" s="25"/>
      <c r="C13" s="23">
        <v>2500000</v>
      </c>
      <c r="D13" s="2">
        <f>+E11</f>
        <v>43487</v>
      </c>
      <c r="E13" s="2">
        <f>+D13+365</f>
        <v>43852</v>
      </c>
      <c r="F13" s="3">
        <f t="shared" si="2"/>
        <v>365</v>
      </c>
      <c r="G13" s="4">
        <v>0.18</v>
      </c>
      <c r="H13" s="5">
        <f t="shared" si="0"/>
        <v>450000</v>
      </c>
      <c r="I13" s="5"/>
      <c r="J13" s="5">
        <f>+J12+H13</f>
        <v>2950000</v>
      </c>
      <c r="N13">
        <v>950000</v>
      </c>
    </row>
    <row r="14" spans="2:15" x14ac:dyDescent="0.35">
      <c r="B14" s="16"/>
      <c r="C14" s="23">
        <f>+J13</f>
        <v>2950000</v>
      </c>
      <c r="D14" s="2">
        <f>+E13</f>
        <v>43852</v>
      </c>
      <c r="E14" s="2">
        <v>43921</v>
      </c>
      <c r="F14" s="3">
        <f t="shared" si="2"/>
        <v>69</v>
      </c>
      <c r="G14" s="4">
        <v>0.18</v>
      </c>
      <c r="H14" s="5">
        <f>C14*F14*G14/365</f>
        <v>100380.82191780822</v>
      </c>
      <c r="I14" s="5"/>
      <c r="J14" s="55">
        <f>+H14+C14</f>
        <v>3050380.8219178081</v>
      </c>
      <c r="N14" s="14">
        <f>N13-N12</f>
        <v>488460.27397260274</v>
      </c>
    </row>
    <row r="15" spans="2:15" x14ac:dyDescent="0.35">
      <c r="B15" s="16"/>
      <c r="C15" s="22"/>
      <c r="D15" s="2"/>
      <c r="E15" s="2"/>
      <c r="F15" s="19"/>
      <c r="G15" s="4"/>
      <c r="H15" s="5"/>
      <c r="I15" s="5"/>
      <c r="J15" s="5"/>
    </row>
    <row r="16" spans="2:15" x14ac:dyDescent="0.35">
      <c r="B16" s="539" t="s">
        <v>22</v>
      </c>
      <c r="C16" s="541"/>
      <c r="D16" s="541"/>
      <c r="E16" s="541"/>
      <c r="F16" s="541"/>
      <c r="G16" s="540"/>
      <c r="H16" s="8">
        <f>SUM(H11:H15)</f>
        <v>1011920.5479452055</v>
      </c>
      <c r="I16" s="8"/>
      <c r="J16" s="8"/>
      <c r="M16" s="14">
        <f>N13-I8</f>
        <v>461540</v>
      </c>
    </row>
    <row r="17" spans="2:10" x14ac:dyDescent="0.35">
      <c r="C17" s="20"/>
    </row>
    <row r="18" spans="2:10" ht="15" thickBot="1" x14ac:dyDescent="0.4">
      <c r="B18" s="10"/>
      <c r="C18" s="24" t="s">
        <v>15</v>
      </c>
      <c r="D18" s="10"/>
      <c r="E18" s="10"/>
      <c r="F18" s="10"/>
      <c r="G18" s="10"/>
      <c r="H18" s="11"/>
      <c r="I18" s="11"/>
      <c r="J18" s="11"/>
    </row>
    <row r="19" spans="2:10" x14ac:dyDescent="0.35">
      <c r="B19" s="12"/>
      <c r="C19" s="21"/>
      <c r="D19" s="12" t="s">
        <v>8</v>
      </c>
      <c r="E19" s="12" t="s">
        <v>21</v>
      </c>
      <c r="F19" s="10"/>
      <c r="G19" s="10"/>
      <c r="H19" s="26" t="s">
        <v>81</v>
      </c>
      <c r="I19" s="72"/>
      <c r="J19" s="79">
        <f>+C5+C11</f>
        <v>5000000</v>
      </c>
    </row>
    <row r="20" spans="2:10" x14ac:dyDescent="0.35">
      <c r="B20" s="63">
        <f>+B5</f>
        <v>42636</v>
      </c>
      <c r="C20" s="13" t="s">
        <v>12</v>
      </c>
      <c r="D20" s="21">
        <v>2500000</v>
      </c>
      <c r="E20" s="21"/>
      <c r="F20" s="10"/>
      <c r="G20" s="10"/>
      <c r="H20" s="28" t="s">
        <v>28</v>
      </c>
      <c r="I20" s="38"/>
      <c r="J20" s="52">
        <f>+H9+H16</f>
        <v>1977380.5479452056</v>
      </c>
    </row>
    <row r="21" spans="2:10" x14ac:dyDescent="0.35">
      <c r="B21" s="63">
        <f>+B11</f>
        <v>43122</v>
      </c>
      <c r="C21" s="13" t="s">
        <v>12</v>
      </c>
      <c r="D21" s="21">
        <v>2500000</v>
      </c>
      <c r="E21" s="21"/>
      <c r="F21" s="10"/>
      <c r="G21" s="10"/>
      <c r="H21" s="28" t="s">
        <v>82</v>
      </c>
      <c r="I21" s="38"/>
      <c r="J21" s="29">
        <f>SUM(J19:J20)</f>
        <v>6977380.5479452051</v>
      </c>
    </row>
    <row r="22" spans="2:10" x14ac:dyDescent="0.35">
      <c r="B22" s="12"/>
      <c r="C22" s="21"/>
      <c r="D22" s="21"/>
      <c r="E22" s="21"/>
      <c r="F22" s="10"/>
      <c r="G22" s="10"/>
      <c r="H22" s="28"/>
      <c r="I22" s="38"/>
      <c r="J22" s="52"/>
    </row>
    <row r="23" spans="2:10" x14ac:dyDescent="0.35">
      <c r="B23" s="12"/>
      <c r="C23" s="21"/>
      <c r="D23" s="21"/>
      <c r="E23" s="21"/>
      <c r="F23" s="10"/>
      <c r="G23" s="10"/>
      <c r="H23" s="28" t="s">
        <v>80</v>
      </c>
      <c r="I23" s="38"/>
      <c r="J23" s="32">
        <v>2500000</v>
      </c>
    </row>
    <row r="24" spans="2:10" x14ac:dyDescent="0.35">
      <c r="B24" s="63">
        <v>43122</v>
      </c>
      <c r="C24" s="21" t="s">
        <v>79</v>
      </c>
      <c r="D24" s="21"/>
      <c r="E24" s="21">
        <v>477000</v>
      </c>
      <c r="H24" s="28" t="s">
        <v>79</v>
      </c>
      <c r="I24" s="38"/>
      <c r="J24" s="32">
        <v>1427000</v>
      </c>
    </row>
    <row r="25" spans="2:10" x14ac:dyDescent="0.35">
      <c r="B25" s="63">
        <v>43363</v>
      </c>
      <c r="C25" s="21" t="s">
        <v>80</v>
      </c>
      <c r="D25" s="21"/>
      <c r="E25" s="21">
        <v>2500000</v>
      </c>
      <c r="H25" s="31" t="s">
        <v>89</v>
      </c>
      <c r="I25" s="39"/>
      <c r="J25" s="30">
        <f>SUM(J23:J24)</f>
        <v>3927000</v>
      </c>
    </row>
    <row r="26" spans="2:10" ht="15" thickBot="1" x14ac:dyDescent="0.4">
      <c r="B26" s="63">
        <v>43539</v>
      </c>
      <c r="C26" s="21" t="s">
        <v>79</v>
      </c>
      <c r="D26" s="21"/>
      <c r="E26" s="21">
        <v>950000</v>
      </c>
      <c r="H26" s="31"/>
      <c r="I26" s="39"/>
      <c r="J26" s="32"/>
    </row>
    <row r="27" spans="2:10" x14ac:dyDescent="0.35">
      <c r="B27" s="12"/>
      <c r="C27" s="21"/>
      <c r="D27" s="21"/>
      <c r="E27" s="21"/>
      <c r="H27" s="77" t="s">
        <v>83</v>
      </c>
      <c r="I27" s="78"/>
      <c r="J27" s="27">
        <f>+J21-J25</f>
        <v>3050380.5479452051</v>
      </c>
    </row>
    <row r="28" spans="2:10" ht="15" thickBot="1" x14ac:dyDescent="0.4">
      <c r="B28" s="12"/>
      <c r="C28" s="21" t="s">
        <v>22</v>
      </c>
      <c r="D28" s="44">
        <f>+SUM(D20:D27)</f>
        <v>5000000</v>
      </c>
      <c r="E28" s="21">
        <f>SUM(E24:E26)</f>
        <v>3927000</v>
      </c>
      <c r="H28" s="74"/>
      <c r="I28" s="75"/>
      <c r="J28" s="76"/>
    </row>
    <row r="31" spans="2:10" ht="18.5" x14ac:dyDescent="0.45">
      <c r="B31" s="542" t="s">
        <v>78</v>
      </c>
      <c r="C31" s="542"/>
      <c r="D31" s="542"/>
      <c r="E31" s="542"/>
      <c r="F31" s="542"/>
      <c r="G31" s="542"/>
      <c r="H31" s="542"/>
      <c r="I31" s="542"/>
      <c r="J31" s="542"/>
    </row>
    <row r="32" spans="2:10" ht="18.5" x14ac:dyDescent="0.45">
      <c r="B32" s="542" t="s">
        <v>101</v>
      </c>
      <c r="C32" s="542"/>
      <c r="D32" s="542"/>
      <c r="E32" s="542"/>
      <c r="F32" s="542"/>
      <c r="G32" s="542"/>
      <c r="H32" s="542"/>
      <c r="I32" s="542"/>
      <c r="J32" s="542"/>
    </row>
    <row r="33" spans="2:10" ht="29" x14ac:dyDescent="0.35">
      <c r="B33" s="12" t="s">
        <v>1</v>
      </c>
      <c r="C33" s="21" t="s">
        <v>7</v>
      </c>
      <c r="D33" s="12" t="s">
        <v>2</v>
      </c>
      <c r="E33" s="12" t="s">
        <v>3</v>
      </c>
      <c r="F33" s="12" t="s">
        <v>4</v>
      </c>
      <c r="G33" s="12" t="s">
        <v>24</v>
      </c>
      <c r="H33" s="41" t="s">
        <v>6</v>
      </c>
      <c r="I33" s="41" t="s">
        <v>79</v>
      </c>
      <c r="J33" s="12" t="s">
        <v>25</v>
      </c>
    </row>
    <row r="34" spans="2:10" x14ac:dyDescent="0.35">
      <c r="B34" s="63">
        <v>43122</v>
      </c>
      <c r="C34" s="22">
        <v>2500000</v>
      </c>
      <c r="D34" s="2">
        <v>43122</v>
      </c>
      <c r="E34" s="2">
        <f>+D34+365</f>
        <v>43487</v>
      </c>
      <c r="F34" s="3">
        <f t="shared" ref="F34:F38" si="3">+E34-D34</f>
        <v>365</v>
      </c>
      <c r="G34" s="4">
        <v>0.18</v>
      </c>
      <c r="H34" s="5">
        <f t="shared" ref="H34:H36" si="4">C34*F34*G34/365</f>
        <v>450000</v>
      </c>
      <c r="I34" s="5"/>
      <c r="J34" s="5">
        <f>+C34+H34</f>
        <v>2950000</v>
      </c>
    </row>
    <row r="35" spans="2:10" x14ac:dyDescent="0.35">
      <c r="B35" s="63" t="s">
        <v>28</v>
      </c>
      <c r="C35" s="23">
        <f>+H34</f>
        <v>450000</v>
      </c>
      <c r="D35" s="2">
        <f>+E34</f>
        <v>43487</v>
      </c>
      <c r="E35" s="2">
        <v>43539</v>
      </c>
      <c r="F35" s="3">
        <f t="shared" si="3"/>
        <v>52</v>
      </c>
      <c r="G35" s="4">
        <v>0.18</v>
      </c>
      <c r="H35" s="5">
        <f t="shared" si="4"/>
        <v>11539.726027397261</v>
      </c>
      <c r="I35" s="5">
        <f>+H34+H35</f>
        <v>461539.72602739726</v>
      </c>
      <c r="J35" s="5">
        <f>+J34+H35-I35</f>
        <v>2500000</v>
      </c>
    </row>
    <row r="36" spans="2:10" x14ac:dyDescent="0.35">
      <c r="B36" s="25"/>
      <c r="C36" s="23">
        <v>2500000</v>
      </c>
      <c r="D36" s="2">
        <f>+E34</f>
        <v>43487</v>
      </c>
      <c r="E36" s="2">
        <f>+D36+365</f>
        <v>43852</v>
      </c>
      <c r="F36" s="3">
        <f t="shared" si="3"/>
        <v>365</v>
      </c>
      <c r="G36" s="4">
        <v>0.18</v>
      </c>
      <c r="H36" s="5">
        <f t="shared" si="4"/>
        <v>450000</v>
      </c>
      <c r="I36" s="5"/>
      <c r="J36" s="5">
        <f>+J35+H36-I36</f>
        <v>2950000</v>
      </c>
    </row>
    <row r="37" spans="2:10" x14ac:dyDescent="0.35">
      <c r="B37" s="63" t="s">
        <v>28</v>
      </c>
      <c r="C37" s="23">
        <f>+H36</f>
        <v>450000</v>
      </c>
      <c r="D37" s="2">
        <f>+E36</f>
        <v>43852</v>
      </c>
      <c r="E37" s="2">
        <v>43940</v>
      </c>
      <c r="F37" s="3">
        <f t="shared" ref="F37" si="5">+E37-D37</f>
        <v>88</v>
      </c>
      <c r="G37" s="4">
        <v>0.18</v>
      </c>
      <c r="H37" s="5">
        <f t="shared" ref="H37" si="6">C37*F37*G37/365</f>
        <v>19528.767123287671</v>
      </c>
      <c r="I37" s="5">
        <v>450000</v>
      </c>
      <c r="J37" s="5">
        <f>+J36+H37-I37</f>
        <v>2519528.7671232875</v>
      </c>
    </row>
    <row r="38" spans="2:10" x14ac:dyDescent="0.35">
      <c r="B38" s="16"/>
      <c r="C38" s="23">
        <v>2500000</v>
      </c>
      <c r="D38" s="2">
        <f>+E36</f>
        <v>43852</v>
      </c>
      <c r="E38" s="2">
        <v>44217</v>
      </c>
      <c r="F38" s="3">
        <f t="shared" si="3"/>
        <v>365</v>
      </c>
      <c r="G38" s="4">
        <v>0.18</v>
      </c>
      <c r="H38" s="5">
        <f>C38*F38*G38/365</f>
        <v>450000</v>
      </c>
      <c r="I38" s="5"/>
      <c r="J38" s="55">
        <f>+J37+H38</f>
        <v>2969528.7671232875</v>
      </c>
    </row>
    <row r="39" spans="2:10" x14ac:dyDescent="0.35">
      <c r="B39" s="16"/>
      <c r="C39" s="22"/>
      <c r="D39" s="2"/>
      <c r="E39" s="2"/>
      <c r="F39" s="19"/>
      <c r="G39" s="4"/>
      <c r="H39" s="5"/>
      <c r="I39" s="5"/>
      <c r="J39" s="5"/>
    </row>
    <row r="40" spans="2:10" x14ac:dyDescent="0.35">
      <c r="B40" s="539" t="s">
        <v>22</v>
      </c>
      <c r="C40" s="541"/>
      <c r="D40" s="541"/>
      <c r="E40" s="541"/>
      <c r="F40" s="541"/>
      <c r="G40" s="540"/>
      <c r="H40" s="8">
        <f>SUM(H34:H39)</f>
        <v>1381068.493150685</v>
      </c>
      <c r="I40" s="8">
        <f>SUM(I34:I38)</f>
        <v>911539.72602739721</v>
      </c>
      <c r="J40" s="8"/>
    </row>
    <row r="41" spans="2:10" x14ac:dyDescent="0.35">
      <c r="C41" s="20"/>
    </row>
    <row r="42" spans="2:10" ht="15" thickBot="1" x14ac:dyDescent="0.4">
      <c r="B42" s="10"/>
      <c r="C42" s="24" t="s">
        <v>15</v>
      </c>
      <c r="D42" s="10"/>
      <c r="E42" s="10"/>
      <c r="F42" s="10"/>
      <c r="G42" s="10"/>
      <c r="H42" s="11"/>
      <c r="I42" s="11"/>
      <c r="J42" s="11"/>
    </row>
    <row r="43" spans="2:10" x14ac:dyDescent="0.35">
      <c r="B43" s="12"/>
      <c r="C43" s="21"/>
      <c r="D43" s="12" t="s">
        <v>8</v>
      </c>
      <c r="E43" s="12" t="s">
        <v>21</v>
      </c>
      <c r="F43" s="10"/>
      <c r="G43" s="10"/>
      <c r="H43" s="26" t="s">
        <v>81</v>
      </c>
      <c r="I43" s="72"/>
      <c r="J43" s="79">
        <f>+C34</f>
        <v>2500000</v>
      </c>
    </row>
    <row r="44" spans="2:10" x14ac:dyDescent="0.35">
      <c r="B44" s="63">
        <f>+B34</f>
        <v>43122</v>
      </c>
      <c r="C44" s="13" t="s">
        <v>12</v>
      </c>
      <c r="D44" s="21">
        <v>2500000</v>
      </c>
      <c r="E44" s="21"/>
      <c r="F44" s="10"/>
      <c r="G44" s="10"/>
      <c r="H44" s="28" t="s">
        <v>28</v>
      </c>
      <c r="I44" s="38"/>
      <c r="J44" s="52">
        <f>+H40</f>
        <v>1381068.493150685</v>
      </c>
    </row>
    <row r="45" spans="2:10" x14ac:dyDescent="0.35">
      <c r="B45" s="12"/>
      <c r="C45" s="21"/>
      <c r="D45" s="21"/>
      <c r="E45" s="21"/>
      <c r="F45" s="10"/>
      <c r="G45" s="10"/>
      <c r="H45" s="28" t="s">
        <v>82</v>
      </c>
      <c r="I45" s="38"/>
      <c r="J45" s="29">
        <f>SUM(J43:J44)</f>
        <v>3881068.493150685</v>
      </c>
    </row>
    <row r="46" spans="2:10" x14ac:dyDescent="0.35">
      <c r="B46" s="12"/>
      <c r="C46" s="21"/>
      <c r="D46" s="21"/>
      <c r="E46" s="21"/>
      <c r="F46" s="10"/>
      <c r="G46" s="10"/>
      <c r="H46" s="28"/>
      <c r="I46" s="38"/>
      <c r="J46" s="52"/>
    </row>
    <row r="47" spans="2:10" x14ac:dyDescent="0.35">
      <c r="B47" s="63">
        <v>43539</v>
      </c>
      <c r="C47" s="21" t="s">
        <v>79</v>
      </c>
      <c r="D47" s="21"/>
      <c r="E47" s="44">
        <f>+I35</f>
        <v>461539.72602739726</v>
      </c>
      <c r="F47" s="10"/>
      <c r="G47" s="10"/>
      <c r="H47" s="28" t="s">
        <v>80</v>
      </c>
      <c r="I47" s="38"/>
      <c r="J47" s="32">
        <v>0</v>
      </c>
    </row>
    <row r="48" spans="2:10" x14ac:dyDescent="0.35">
      <c r="B48" s="63">
        <v>43940</v>
      </c>
      <c r="C48" s="21" t="s">
        <v>79</v>
      </c>
      <c r="D48" s="21"/>
      <c r="E48" s="21">
        <v>450000</v>
      </c>
      <c r="H48" s="28" t="s">
        <v>79</v>
      </c>
      <c r="I48" s="38"/>
      <c r="J48" s="52">
        <f>+I40</f>
        <v>911539.72602739721</v>
      </c>
    </row>
    <row r="49" spans="2:10" x14ac:dyDescent="0.35">
      <c r="B49" s="12"/>
      <c r="C49" s="21"/>
      <c r="D49" s="21"/>
      <c r="E49" s="21"/>
      <c r="H49" s="31" t="s">
        <v>89</v>
      </c>
      <c r="I49" s="39"/>
      <c r="J49" s="29">
        <f>SUM(J47:J48)</f>
        <v>911539.72602739721</v>
      </c>
    </row>
    <row r="50" spans="2:10" x14ac:dyDescent="0.35">
      <c r="B50" s="12"/>
      <c r="C50" s="21" t="s">
        <v>22</v>
      </c>
      <c r="D50" s="44">
        <f>+SUM(D44:D49)</f>
        <v>2500000</v>
      </c>
      <c r="E50" s="44">
        <f>SUM(E47:E48)</f>
        <v>911539.72602739721</v>
      </c>
      <c r="H50" s="31"/>
      <c r="I50" s="39"/>
      <c r="J50" s="32"/>
    </row>
    <row r="51" spans="2:10" ht="15" thickBot="1" x14ac:dyDescent="0.4">
      <c r="H51" s="31"/>
      <c r="I51" s="39"/>
      <c r="J51" s="32"/>
    </row>
    <row r="52" spans="2:10" x14ac:dyDescent="0.35">
      <c r="H52" s="77" t="s">
        <v>83</v>
      </c>
      <c r="I52" s="78"/>
      <c r="J52" s="27">
        <f>+J45-J49</f>
        <v>2969528.7671232875</v>
      </c>
    </row>
    <row r="53" spans="2:10" ht="15" thickBot="1" x14ac:dyDescent="0.4">
      <c r="H53" s="74"/>
      <c r="I53" s="75"/>
      <c r="J53" s="76"/>
    </row>
    <row r="58" spans="2:10" ht="18.5" x14ac:dyDescent="0.45">
      <c r="B58" s="542" t="s">
        <v>78</v>
      </c>
      <c r="C58" s="542"/>
      <c r="D58" s="542"/>
      <c r="E58" s="542"/>
      <c r="F58" s="542"/>
      <c r="G58" s="542"/>
      <c r="H58" s="542"/>
      <c r="I58" s="542"/>
      <c r="J58" s="542"/>
    </row>
    <row r="59" spans="2:10" ht="19" thickBot="1" x14ac:dyDescent="0.5">
      <c r="B59" s="542" t="s">
        <v>327</v>
      </c>
      <c r="C59" s="542"/>
      <c r="D59" s="542"/>
      <c r="E59" s="542"/>
      <c r="F59" s="542"/>
      <c r="G59" s="542"/>
      <c r="H59" s="542"/>
      <c r="I59" s="542"/>
      <c r="J59" s="542"/>
    </row>
    <row r="60" spans="2:10" ht="29.5" thickBot="1" x14ac:dyDescent="0.4">
      <c r="B60" s="123" t="s">
        <v>1</v>
      </c>
      <c r="C60" s="398" t="s">
        <v>7</v>
      </c>
      <c r="D60" s="398" t="s">
        <v>2</v>
      </c>
      <c r="E60" s="398" t="s">
        <v>3</v>
      </c>
      <c r="F60" s="398" t="s">
        <v>4</v>
      </c>
      <c r="G60" s="398" t="s">
        <v>24</v>
      </c>
      <c r="H60" s="169" t="s">
        <v>6</v>
      </c>
      <c r="I60" s="169" t="s">
        <v>79</v>
      </c>
      <c r="J60" s="283" t="s">
        <v>25</v>
      </c>
    </row>
    <row r="61" spans="2:10" x14ac:dyDescent="0.35">
      <c r="B61" s="284" t="s">
        <v>193</v>
      </c>
      <c r="C61" s="93">
        <v>2500000</v>
      </c>
      <c r="D61" s="147">
        <v>45313</v>
      </c>
      <c r="E61" s="147">
        <v>45313</v>
      </c>
      <c r="F61" s="420">
        <f t="shared" ref="F61" si="7">+E61-D61</f>
        <v>0</v>
      </c>
      <c r="G61" s="421">
        <v>0.18</v>
      </c>
      <c r="H61" s="346">
        <f t="shared" ref="H61" si="8">C61*F61*G61/365</f>
        <v>0</v>
      </c>
      <c r="I61" s="346"/>
      <c r="J61" s="423">
        <f>+C61+H61</f>
        <v>2500000</v>
      </c>
    </row>
    <row r="62" spans="2:10" x14ac:dyDescent="0.35">
      <c r="B62" s="284"/>
      <c r="C62" s="93"/>
      <c r="D62" s="147"/>
      <c r="E62" s="147"/>
      <c r="F62" s="420"/>
      <c r="G62" s="421"/>
      <c r="H62" s="346"/>
      <c r="I62" s="346"/>
      <c r="J62" s="423"/>
    </row>
    <row r="63" spans="2:10" x14ac:dyDescent="0.35">
      <c r="B63" s="126"/>
      <c r="C63" s="54"/>
      <c r="D63" s="17"/>
      <c r="E63" s="17"/>
      <c r="F63" s="16"/>
      <c r="G63" s="221"/>
      <c r="H63" s="54"/>
      <c r="I63" s="54"/>
      <c r="J63" s="222"/>
    </row>
    <row r="64" spans="2:10" ht="15" thickBot="1" x14ac:dyDescent="0.4">
      <c r="B64" s="286"/>
      <c r="C64" s="232"/>
      <c r="D64" s="140"/>
      <c r="E64" s="140"/>
      <c r="F64" s="422"/>
      <c r="G64" s="258"/>
      <c r="H64" s="232"/>
      <c r="I64" s="232"/>
      <c r="J64" s="281"/>
    </row>
    <row r="65" spans="2:10" ht="15" thickBot="1" x14ac:dyDescent="0.4">
      <c r="B65" s="613" t="s">
        <v>204</v>
      </c>
      <c r="C65" s="586"/>
      <c r="D65" s="586"/>
      <c r="E65" s="586"/>
      <c r="F65" s="586"/>
      <c r="G65" s="587"/>
      <c r="H65" s="225">
        <f>SUM(H61:H64)</f>
        <v>0</v>
      </c>
      <c r="I65" s="225">
        <f>SUM(I61:I64)</f>
        <v>0</v>
      </c>
      <c r="J65" s="330"/>
    </row>
    <row r="66" spans="2:10" ht="15" thickBot="1" x14ac:dyDescent="0.4"/>
    <row r="67" spans="2:10" ht="15" thickBot="1" x14ac:dyDescent="0.4">
      <c r="C67" s="535" t="s">
        <v>203</v>
      </c>
      <c r="D67" s="536"/>
      <c r="E67" s="612"/>
    </row>
    <row r="68" spans="2:10" s="245" customFormat="1" ht="29" x14ac:dyDescent="0.35">
      <c r="B68" s="244"/>
      <c r="C68" s="246" t="s">
        <v>198</v>
      </c>
      <c r="D68" s="247" t="s">
        <v>7</v>
      </c>
      <c r="E68" s="248" t="s">
        <v>188</v>
      </c>
    </row>
    <row r="69" spans="2:10" x14ac:dyDescent="0.35">
      <c r="B69" s="9"/>
      <c r="C69" s="171" t="s">
        <v>194</v>
      </c>
      <c r="D69" s="1">
        <v>450000</v>
      </c>
      <c r="E69" s="84" t="s">
        <v>201</v>
      </c>
    </row>
    <row r="70" spans="2:10" x14ac:dyDescent="0.35">
      <c r="C70" s="171" t="s">
        <v>195</v>
      </c>
      <c r="D70" s="1">
        <v>450000</v>
      </c>
      <c r="E70" s="84" t="s">
        <v>202</v>
      </c>
    </row>
    <row r="71" spans="2:10" x14ac:dyDescent="0.35">
      <c r="C71" s="171" t="s">
        <v>197</v>
      </c>
      <c r="D71" s="1">
        <v>450000</v>
      </c>
      <c r="E71" s="84" t="s">
        <v>199</v>
      </c>
    </row>
    <row r="72" spans="2:10" x14ac:dyDescent="0.35">
      <c r="C72" s="171" t="s">
        <v>196</v>
      </c>
      <c r="D72" s="1">
        <v>450000</v>
      </c>
      <c r="E72" s="84" t="s">
        <v>200</v>
      </c>
    </row>
    <row r="73" spans="2:10" x14ac:dyDescent="0.35">
      <c r="C73" s="171" t="s">
        <v>323</v>
      </c>
      <c r="D73" s="1">
        <v>450000</v>
      </c>
      <c r="E73" s="84" t="s">
        <v>324</v>
      </c>
    </row>
    <row r="74" spans="2:10" x14ac:dyDescent="0.35">
      <c r="C74" s="171" t="s">
        <v>325</v>
      </c>
      <c r="D74" s="1">
        <v>450000</v>
      </c>
      <c r="E74" s="84" t="s">
        <v>326</v>
      </c>
    </row>
    <row r="75" spans="2:10" x14ac:dyDescent="0.35">
      <c r="C75" s="171"/>
      <c r="D75" s="1"/>
      <c r="E75" s="84"/>
    </row>
    <row r="76" spans="2:10" ht="15" thickBot="1" x14ac:dyDescent="0.4">
      <c r="C76" s="172"/>
      <c r="D76" s="249">
        <f>SUM(D69:D75)</f>
        <v>2700000</v>
      </c>
      <c r="E76" s="109"/>
    </row>
    <row r="79" spans="2:10" ht="18.5" x14ac:dyDescent="0.45">
      <c r="B79" s="542" t="s">
        <v>205</v>
      </c>
      <c r="C79" s="542"/>
      <c r="D79" s="542"/>
      <c r="E79" s="542"/>
      <c r="F79" s="542"/>
      <c r="G79" s="542"/>
      <c r="H79" s="542"/>
      <c r="I79" s="542"/>
      <c r="J79" s="542"/>
    </row>
    <row r="80" spans="2:10" ht="18.5" x14ac:dyDescent="0.45">
      <c r="B80" s="542" t="s">
        <v>214</v>
      </c>
      <c r="C80" s="542"/>
      <c r="D80" s="542"/>
      <c r="E80" s="542"/>
      <c r="F80" s="542"/>
      <c r="G80" s="542"/>
      <c r="H80" s="542"/>
      <c r="I80" s="542"/>
      <c r="J80" s="542"/>
    </row>
    <row r="81" spans="2:10" ht="29" x14ac:dyDescent="0.35">
      <c r="B81" s="12" t="s">
        <v>1</v>
      </c>
      <c r="C81" s="21" t="s">
        <v>7</v>
      </c>
      <c r="D81" s="12" t="s">
        <v>2</v>
      </c>
      <c r="E81" s="12" t="s">
        <v>3</v>
      </c>
      <c r="F81" s="12" t="s">
        <v>4</v>
      </c>
      <c r="G81" s="12" t="s">
        <v>24</v>
      </c>
      <c r="H81" s="41" t="s">
        <v>6</v>
      </c>
      <c r="I81" s="41" t="s">
        <v>79</v>
      </c>
      <c r="J81" s="12" t="s">
        <v>25</v>
      </c>
    </row>
    <row r="82" spans="2:10" x14ac:dyDescent="0.35">
      <c r="B82" s="17" t="s">
        <v>209</v>
      </c>
      <c r="C82" s="22">
        <v>500000</v>
      </c>
      <c r="D82" s="2">
        <v>44409</v>
      </c>
      <c r="E82" s="2">
        <v>44632</v>
      </c>
      <c r="F82" s="3">
        <f t="shared" ref="F82" si="9">+E82-D82</f>
        <v>223</v>
      </c>
      <c r="G82" s="4">
        <v>0.24</v>
      </c>
      <c r="H82" s="5">
        <f t="shared" ref="H82" si="10">C82*F82*G82/365</f>
        <v>73315.068493150684</v>
      </c>
      <c r="I82" s="5"/>
      <c r="J82" s="5">
        <f>+C82+H82</f>
        <v>573315.06849315064</v>
      </c>
    </row>
    <row r="83" spans="2:10" s="254" customFormat="1" x14ac:dyDescent="0.35">
      <c r="B83" s="403"/>
      <c r="C83" s="404"/>
      <c r="D83" s="405"/>
      <c r="E83" s="405"/>
      <c r="F83" s="406"/>
      <c r="G83" s="407"/>
      <c r="H83" s="408"/>
      <c r="I83" s="408"/>
      <c r="J83" s="408"/>
    </row>
    <row r="84" spans="2:10" x14ac:dyDescent="0.35">
      <c r="B84" s="539" t="s">
        <v>204</v>
      </c>
      <c r="C84" s="541"/>
      <c r="D84" s="541"/>
      <c r="E84" s="541"/>
      <c r="F84" s="541"/>
      <c r="G84" s="540"/>
      <c r="H84" s="8">
        <f>SUM(H82:H83)</f>
        <v>73315.068493150684</v>
      </c>
      <c r="I84" s="8">
        <f>SUM(I82:I83)</f>
        <v>0</v>
      </c>
      <c r="J84" s="8"/>
    </row>
    <row r="87" spans="2:10" ht="15" thickBot="1" x14ac:dyDescent="0.4"/>
    <row r="88" spans="2:10" ht="15" thickBot="1" x14ac:dyDescent="0.4">
      <c r="C88" s="535" t="s">
        <v>203</v>
      </c>
      <c r="D88" s="536"/>
      <c r="E88" s="612"/>
    </row>
    <row r="89" spans="2:10" ht="14" customHeight="1" x14ac:dyDescent="0.35">
      <c r="B89" s="244"/>
      <c r="C89" s="246" t="s">
        <v>198</v>
      </c>
      <c r="D89" s="247" t="s">
        <v>7</v>
      </c>
      <c r="E89" s="248" t="s">
        <v>188</v>
      </c>
      <c r="F89" s="245"/>
      <c r="G89" s="245"/>
      <c r="H89" s="245"/>
      <c r="I89" s="245"/>
      <c r="J89" s="245"/>
    </row>
    <row r="90" spans="2:10" x14ac:dyDescent="0.35">
      <c r="B90" s="9"/>
      <c r="C90" s="171"/>
      <c r="D90" s="1"/>
      <c r="E90" s="84"/>
    </row>
    <row r="91" spans="2:10" x14ac:dyDescent="0.35">
      <c r="B91" s="9"/>
      <c r="C91" s="171" t="s">
        <v>210</v>
      </c>
      <c r="D91" s="1">
        <v>120000</v>
      </c>
      <c r="E91" s="84" t="s">
        <v>208</v>
      </c>
    </row>
    <row r="92" spans="2:10" x14ac:dyDescent="0.35">
      <c r="B92" s="9"/>
      <c r="C92" s="171" t="s">
        <v>211</v>
      </c>
      <c r="D92" s="1">
        <v>120000</v>
      </c>
      <c r="E92" s="84" t="s">
        <v>207</v>
      </c>
    </row>
    <row r="93" spans="2:10" x14ac:dyDescent="0.35">
      <c r="B93" s="9"/>
      <c r="C93" s="171" t="s">
        <v>212</v>
      </c>
      <c r="D93" s="1">
        <v>120000</v>
      </c>
      <c r="E93" s="84" t="s">
        <v>206</v>
      </c>
    </row>
    <row r="94" spans="2:10" x14ac:dyDescent="0.35">
      <c r="C94" s="171"/>
      <c r="D94" s="1"/>
      <c r="E94" s="84"/>
    </row>
    <row r="95" spans="2:10" s="254" customFormat="1" ht="18.5" customHeight="1" x14ac:dyDescent="0.35">
      <c r="B95" s="250"/>
      <c r="C95" s="251"/>
      <c r="D95" s="252"/>
      <c r="E95" s="253"/>
    </row>
    <row r="96" spans="2:10" x14ac:dyDescent="0.35">
      <c r="C96" s="171"/>
      <c r="D96" s="1"/>
      <c r="E96" s="84"/>
    </row>
    <row r="97" spans="3:5" x14ac:dyDescent="0.35">
      <c r="C97" s="171" t="s">
        <v>213</v>
      </c>
      <c r="D97" s="1">
        <v>120000</v>
      </c>
      <c r="E97" s="84" t="s">
        <v>215</v>
      </c>
    </row>
    <row r="98" spans="3:5" x14ac:dyDescent="0.35">
      <c r="C98" s="171"/>
      <c r="D98" s="1"/>
      <c r="E98" s="84"/>
    </row>
    <row r="99" spans="3:5" ht="15" thickBot="1" x14ac:dyDescent="0.4">
      <c r="C99" s="172"/>
      <c r="D99" s="249">
        <f>SUM(D90:D98)</f>
        <v>480000</v>
      </c>
      <c r="E99" s="109"/>
    </row>
    <row r="115" spans="2:9" ht="15" thickBot="1" x14ac:dyDescent="0.4"/>
    <row r="116" spans="2:9" ht="19" thickBot="1" x14ac:dyDescent="0.5">
      <c r="B116" s="582" t="s">
        <v>321</v>
      </c>
      <c r="C116" s="583"/>
      <c r="D116" s="583"/>
      <c r="E116" s="583"/>
      <c r="F116" s="583"/>
      <c r="G116" s="583"/>
      <c r="H116" s="583"/>
      <c r="I116" s="584"/>
    </row>
    <row r="117" spans="2:9" s="254" customFormat="1" ht="29.5" thickBot="1" x14ac:dyDescent="0.4">
      <c r="B117" s="415" t="s">
        <v>1</v>
      </c>
      <c r="C117" s="416" t="s">
        <v>7</v>
      </c>
      <c r="D117" s="416" t="s">
        <v>2</v>
      </c>
      <c r="E117" s="416" t="s">
        <v>3</v>
      </c>
      <c r="F117" s="416" t="s">
        <v>4</v>
      </c>
      <c r="G117" s="416" t="s">
        <v>24</v>
      </c>
      <c r="H117" s="416" t="s">
        <v>6</v>
      </c>
      <c r="I117" s="417" t="s">
        <v>25</v>
      </c>
    </row>
    <row r="118" spans="2:9" x14ac:dyDescent="0.35">
      <c r="B118" s="309"/>
      <c r="C118" s="310" t="s">
        <v>8</v>
      </c>
      <c r="D118" s="177"/>
      <c r="E118" s="177"/>
      <c r="F118" s="177"/>
      <c r="G118" s="177"/>
      <c r="H118" s="177"/>
      <c r="I118" s="178"/>
    </row>
    <row r="119" spans="2:9" x14ac:dyDescent="0.35">
      <c r="B119" s="85" t="s">
        <v>319</v>
      </c>
      <c r="C119" s="15">
        <v>2000000</v>
      </c>
      <c r="D119" s="2">
        <v>44091</v>
      </c>
      <c r="E119" s="2">
        <v>44456</v>
      </c>
      <c r="F119" s="59">
        <f>+E119-D119</f>
        <v>365</v>
      </c>
      <c r="G119" s="4">
        <v>0.24</v>
      </c>
      <c r="H119" s="5">
        <f>C119*F119*G119/365</f>
        <v>480000</v>
      </c>
      <c r="I119" s="86">
        <f>+C119+H119</f>
        <v>2480000</v>
      </c>
    </row>
    <row r="120" spans="2:9" x14ac:dyDescent="0.35">
      <c r="B120" s="85"/>
      <c r="C120" s="54"/>
      <c r="D120" s="2">
        <v>44456</v>
      </c>
      <c r="E120" s="2">
        <v>44821</v>
      </c>
      <c r="F120" s="59">
        <f>+E120-D120</f>
        <v>365</v>
      </c>
      <c r="G120" s="4">
        <v>0.24</v>
      </c>
      <c r="H120" s="5">
        <f>I119*F120*G120/365</f>
        <v>595200</v>
      </c>
      <c r="I120" s="86">
        <f>+I119+H120</f>
        <v>3075200</v>
      </c>
    </row>
    <row r="121" spans="2:9" x14ac:dyDescent="0.35">
      <c r="B121" s="85"/>
      <c r="C121" s="54"/>
      <c r="D121" s="2">
        <f>+E120</f>
        <v>44821</v>
      </c>
      <c r="E121" s="2">
        <v>45186</v>
      </c>
      <c r="F121" s="59">
        <f>+E121-D121</f>
        <v>365</v>
      </c>
      <c r="G121" s="4">
        <v>0.24</v>
      </c>
      <c r="H121" s="5">
        <f>I120*F121*G121/365</f>
        <v>738048</v>
      </c>
      <c r="I121" s="86">
        <f>+I120+H121</f>
        <v>3813248</v>
      </c>
    </row>
    <row r="122" spans="2:9" x14ac:dyDescent="0.35">
      <c r="B122" s="85"/>
      <c r="C122" s="54"/>
      <c r="D122" s="2">
        <f>+E121</f>
        <v>45186</v>
      </c>
      <c r="E122" s="2">
        <v>45551</v>
      </c>
      <c r="F122" s="59">
        <f>+E122-D122</f>
        <v>365</v>
      </c>
      <c r="G122" s="4">
        <v>0.24</v>
      </c>
      <c r="H122" s="5">
        <f t="shared" ref="H122:H123" si="11">I121*F122*G122/365</f>
        <v>915179.52000000002</v>
      </c>
      <c r="I122" s="86">
        <f t="shared" ref="I122:I123" si="12">+I121+H122</f>
        <v>4728427.5199999996</v>
      </c>
    </row>
    <row r="123" spans="2:9" x14ac:dyDescent="0.35">
      <c r="B123" s="85"/>
      <c r="C123" s="54"/>
      <c r="D123" s="2">
        <f>+E122</f>
        <v>45551</v>
      </c>
      <c r="E123" s="2">
        <v>45916</v>
      </c>
      <c r="F123" s="59">
        <f>+E123-D123</f>
        <v>365</v>
      </c>
      <c r="G123" s="4">
        <v>0.24</v>
      </c>
      <c r="H123" s="5">
        <f t="shared" si="11"/>
        <v>1134822.6047999999</v>
      </c>
      <c r="I123" s="86">
        <f t="shared" si="12"/>
        <v>5863250.1247999994</v>
      </c>
    </row>
    <row r="124" spans="2:9" x14ac:dyDescent="0.35">
      <c r="B124" s="85"/>
      <c r="C124" s="54"/>
      <c r="D124" s="2">
        <f>E123</f>
        <v>45916</v>
      </c>
      <c r="E124" s="2">
        <v>46148</v>
      </c>
      <c r="F124" s="59">
        <f>+E124-D124</f>
        <v>232</v>
      </c>
      <c r="G124" s="4">
        <v>0.24</v>
      </c>
      <c r="H124" s="5">
        <f t="shared" ref="H124" si="13">I123*F124*G124/365</f>
        <v>894426.75876401097</v>
      </c>
      <c r="I124" s="86">
        <f t="shared" ref="I124" si="14">+I123+H124</f>
        <v>6757676.8835640103</v>
      </c>
    </row>
    <row r="125" spans="2:9" x14ac:dyDescent="0.35">
      <c r="B125" s="85"/>
      <c r="C125" s="54"/>
      <c r="D125" s="2"/>
      <c r="E125" s="2"/>
      <c r="F125" s="59"/>
      <c r="G125" s="4"/>
      <c r="H125" s="5"/>
      <c r="I125" s="86"/>
    </row>
    <row r="126" spans="2:9" x14ac:dyDescent="0.35">
      <c r="B126" s="85"/>
      <c r="C126" s="54"/>
      <c r="D126" s="2"/>
      <c r="E126" s="2"/>
      <c r="F126" s="59"/>
      <c r="G126" s="4"/>
      <c r="H126" s="5"/>
      <c r="I126" s="86"/>
    </row>
    <row r="127" spans="2:9" x14ac:dyDescent="0.35">
      <c r="B127" s="85" t="s">
        <v>317</v>
      </c>
      <c r="C127" s="15">
        <v>3000000</v>
      </c>
      <c r="D127" s="2">
        <v>44908</v>
      </c>
      <c r="E127" s="2">
        <v>45273</v>
      </c>
      <c r="F127" s="59">
        <f>+E127-D127</f>
        <v>365</v>
      </c>
      <c r="G127" s="4">
        <v>0.24</v>
      </c>
      <c r="H127" s="5">
        <f>C127*F127*G127/365</f>
        <v>720000</v>
      </c>
      <c r="I127" s="86">
        <f>+C127+H127</f>
        <v>3720000</v>
      </c>
    </row>
    <row r="128" spans="2:9" x14ac:dyDescent="0.35">
      <c r="B128" s="85"/>
      <c r="C128" s="54"/>
      <c r="D128" s="2">
        <f>+E127</f>
        <v>45273</v>
      </c>
      <c r="E128" s="2">
        <v>45638</v>
      </c>
      <c r="F128" s="59">
        <f>+E128-D128</f>
        <v>365</v>
      </c>
      <c r="G128" s="4">
        <v>0.24</v>
      </c>
      <c r="H128" s="5">
        <f>I127*F128*G128/365</f>
        <v>892800</v>
      </c>
      <c r="I128" s="86">
        <f>+I127+H128</f>
        <v>4612800</v>
      </c>
    </row>
    <row r="129" spans="2:9" x14ac:dyDescent="0.35">
      <c r="B129" s="85"/>
      <c r="C129" s="54"/>
      <c r="D129" s="2">
        <f>+E128</f>
        <v>45638</v>
      </c>
      <c r="E129" s="2">
        <v>46003</v>
      </c>
      <c r="F129" s="59">
        <f>+E129-D129</f>
        <v>365</v>
      </c>
      <c r="G129" s="4">
        <v>0.24</v>
      </c>
      <c r="H129" s="5">
        <f>I128*F129*G129/365</f>
        <v>1107072</v>
      </c>
      <c r="I129" s="86">
        <f>+I128+H129</f>
        <v>5719872</v>
      </c>
    </row>
    <row r="130" spans="2:9" x14ac:dyDescent="0.35">
      <c r="B130" s="85"/>
      <c r="C130" s="54"/>
      <c r="D130" s="2">
        <f>E129</f>
        <v>46003</v>
      </c>
      <c r="E130" s="2">
        <v>46148</v>
      </c>
      <c r="F130" s="59">
        <f>+E130-D130</f>
        <v>145</v>
      </c>
      <c r="G130" s="4">
        <v>0.24</v>
      </c>
      <c r="H130" s="5">
        <f>I129*F130*G130/365</f>
        <v>545346.70027397259</v>
      </c>
      <c r="I130" s="86">
        <f>+I129+H130</f>
        <v>6265218.7002739729</v>
      </c>
    </row>
    <row r="131" spans="2:9" x14ac:dyDescent="0.35">
      <c r="B131" s="85"/>
      <c r="C131" s="54"/>
      <c r="D131" s="2"/>
      <c r="E131" s="2"/>
      <c r="F131" s="59"/>
      <c r="G131" s="4"/>
      <c r="H131" s="5"/>
      <c r="I131" s="86"/>
    </row>
    <row r="132" spans="2:9" x14ac:dyDescent="0.35">
      <c r="B132" s="85" t="s">
        <v>329</v>
      </c>
      <c r="C132" s="15">
        <v>4700000</v>
      </c>
      <c r="D132" s="2">
        <v>45651</v>
      </c>
      <c r="E132" s="2">
        <v>46016</v>
      </c>
      <c r="F132" s="59">
        <f>+E132-D132</f>
        <v>365</v>
      </c>
      <c r="G132" s="4">
        <v>0.24</v>
      </c>
      <c r="H132" s="5">
        <f>C132*F132*G132/365</f>
        <v>1128000</v>
      </c>
      <c r="I132" s="86">
        <f>+C132+H132</f>
        <v>5828000</v>
      </c>
    </row>
    <row r="133" spans="2:9" x14ac:dyDescent="0.35">
      <c r="B133" s="85"/>
      <c r="C133" s="54"/>
      <c r="D133" s="2">
        <f>+E132</f>
        <v>46016</v>
      </c>
      <c r="E133" s="2">
        <v>46148</v>
      </c>
      <c r="F133" s="59">
        <f>+E133-D133</f>
        <v>132</v>
      </c>
      <c r="G133" s="4">
        <v>0.24</v>
      </c>
      <c r="H133" s="5">
        <f>I132*F133*G133/365</f>
        <v>505838.46575342468</v>
      </c>
      <c r="I133" s="86">
        <f>+I132+H133</f>
        <v>6333838.4657534249</v>
      </c>
    </row>
    <row r="134" spans="2:9" x14ac:dyDescent="0.35">
      <c r="B134" s="85"/>
      <c r="C134" s="54"/>
      <c r="D134" s="2"/>
      <c r="E134" s="2"/>
      <c r="F134" s="59"/>
      <c r="G134" s="4"/>
      <c r="H134" s="5"/>
      <c r="I134" s="86"/>
    </row>
    <row r="135" spans="2:9" x14ac:dyDescent="0.35">
      <c r="B135" s="85">
        <v>45756</v>
      </c>
      <c r="C135" s="15">
        <v>4550000</v>
      </c>
      <c r="D135" s="2">
        <v>45756</v>
      </c>
      <c r="E135" s="2">
        <v>46121</v>
      </c>
      <c r="F135" s="59">
        <f>+E135-D135</f>
        <v>365</v>
      </c>
      <c r="G135" s="4">
        <v>0.24</v>
      </c>
      <c r="H135" s="5">
        <f>C135*F135*G135/365</f>
        <v>1092000</v>
      </c>
      <c r="I135" s="86">
        <f>+C135+H135</f>
        <v>5642000</v>
      </c>
    </row>
    <row r="136" spans="2:9" x14ac:dyDescent="0.35">
      <c r="B136" s="85"/>
      <c r="C136" s="54"/>
      <c r="D136" s="2">
        <f>+E135</f>
        <v>46121</v>
      </c>
      <c r="E136" s="2">
        <v>46148</v>
      </c>
      <c r="F136" s="59">
        <f>+E136-D136</f>
        <v>27</v>
      </c>
      <c r="G136" s="4">
        <v>0.24</v>
      </c>
      <c r="H136" s="5">
        <f>I135*F136*G136/365</f>
        <v>100164.82191780822</v>
      </c>
      <c r="I136" s="86">
        <f>+I135+H136</f>
        <v>5742164.8219178086</v>
      </c>
    </row>
    <row r="137" spans="2:9" x14ac:dyDescent="0.35">
      <c r="B137" s="85"/>
      <c r="C137" s="54"/>
      <c r="D137" s="2"/>
      <c r="E137" s="2"/>
      <c r="F137" s="59"/>
      <c r="G137" s="4"/>
      <c r="H137" s="5"/>
      <c r="I137" s="86"/>
    </row>
    <row r="138" spans="2:9" x14ac:dyDescent="0.35">
      <c r="B138" s="85">
        <v>45907</v>
      </c>
      <c r="C138" s="15">
        <v>4000000</v>
      </c>
      <c r="D138" s="2">
        <v>45907</v>
      </c>
      <c r="E138" s="2">
        <v>46148</v>
      </c>
      <c r="F138" s="59">
        <f>+E138-D138</f>
        <v>241</v>
      </c>
      <c r="G138" s="4">
        <v>0.24</v>
      </c>
      <c r="H138" s="5">
        <f>C138*F138*G138/365</f>
        <v>633863.01369863015</v>
      </c>
      <c r="I138" s="86">
        <f>+C138+H138</f>
        <v>4633863.01369863</v>
      </c>
    </row>
    <row r="139" spans="2:9" x14ac:dyDescent="0.35">
      <c r="B139" s="85"/>
      <c r="C139" s="54"/>
      <c r="D139" s="2"/>
      <c r="E139" s="2"/>
      <c r="F139" s="59"/>
      <c r="G139" s="4"/>
      <c r="H139" s="5"/>
      <c r="I139" s="86"/>
    </row>
    <row r="140" spans="2:9" x14ac:dyDescent="0.35">
      <c r="B140" s="85"/>
      <c r="C140" s="54"/>
      <c r="D140" s="2"/>
      <c r="E140" s="2"/>
      <c r="F140" s="59"/>
      <c r="G140" s="4"/>
      <c r="H140" s="5"/>
      <c r="I140" s="86"/>
    </row>
    <row r="141" spans="2:9" ht="13" customHeight="1" thickBot="1" x14ac:dyDescent="0.4">
      <c r="B141" s="377"/>
      <c r="C141" s="232"/>
      <c r="D141" s="141"/>
      <c r="E141" s="141"/>
      <c r="F141" s="287"/>
      <c r="G141" s="143"/>
      <c r="H141" s="120"/>
      <c r="I141" s="121"/>
    </row>
    <row r="142" spans="2:9" s="9" customFormat="1" ht="15" thickBot="1" x14ac:dyDescent="0.4">
      <c r="B142" s="378" t="s">
        <v>22</v>
      </c>
      <c r="C142" s="398">
        <f>+SUM(C119:C141)</f>
        <v>18250000</v>
      </c>
      <c r="D142" s="594" t="s">
        <v>42</v>
      </c>
      <c r="E142" s="595"/>
      <c r="F142" s="595"/>
      <c r="G142" s="596"/>
      <c r="H142" s="288">
        <f>SUM(H119:H141)</f>
        <v>11482761.885207847</v>
      </c>
      <c r="I142" s="131"/>
    </row>
    <row r="143" spans="2:9" ht="15" thickBot="1" x14ac:dyDescent="0.4">
      <c r="B143" s="412"/>
      <c r="C143" s="94"/>
      <c r="D143" s="597" t="s">
        <v>43</v>
      </c>
      <c r="E143" s="598"/>
      <c r="F143" s="598"/>
      <c r="G143" s="599"/>
      <c r="H143" s="413">
        <f>+C142</f>
        <v>18250000</v>
      </c>
      <c r="I143" s="414"/>
    </row>
    <row r="144" spans="2:9" s="9" customFormat="1" ht="15" thickBot="1" x14ac:dyDescent="0.4">
      <c r="B144" s="123"/>
      <c r="C144" s="398"/>
      <c r="D144" s="594" t="s">
        <v>58</v>
      </c>
      <c r="E144" s="595"/>
      <c r="F144" s="595"/>
      <c r="G144" s="596"/>
      <c r="H144" s="122">
        <f>SUM(H142:H143)</f>
        <v>29732761.885207847</v>
      </c>
      <c r="I144" s="124"/>
    </row>
    <row r="145" spans="2:9" x14ac:dyDescent="0.35">
      <c r="B145" s="257"/>
      <c r="I145" s="107"/>
    </row>
    <row r="146" spans="2:9" ht="15" thickBot="1" x14ac:dyDescent="0.4">
      <c r="B146" s="607" t="s">
        <v>203</v>
      </c>
      <c r="C146" s="548"/>
      <c r="D146" s="548"/>
      <c r="E146" s="548"/>
      <c r="F146" s="548"/>
      <c r="G146" s="548"/>
      <c r="H146" s="548"/>
      <c r="I146" s="608"/>
    </row>
    <row r="147" spans="2:9" s="6" customFormat="1" ht="18" customHeight="1" thickBot="1" x14ac:dyDescent="0.4">
      <c r="B147" s="600" t="s">
        <v>198</v>
      </c>
      <c r="C147" s="601"/>
      <c r="D147" s="601"/>
      <c r="E147" s="302" t="s">
        <v>7</v>
      </c>
      <c r="F147" s="601" t="s">
        <v>188</v>
      </c>
      <c r="G147" s="601"/>
      <c r="H147" s="609"/>
      <c r="I147" s="610"/>
    </row>
    <row r="148" spans="2:9" x14ac:dyDescent="0.35">
      <c r="B148" s="602" t="s">
        <v>219</v>
      </c>
      <c r="C148" s="603"/>
      <c r="D148" s="603"/>
      <c r="E148" s="167">
        <v>470000</v>
      </c>
      <c r="F148" s="603" t="s">
        <v>216</v>
      </c>
      <c r="G148" s="603"/>
      <c r="H148" s="167" t="s">
        <v>218</v>
      </c>
      <c r="I148" s="130"/>
    </row>
    <row r="149" spans="2:9" x14ac:dyDescent="0.35">
      <c r="B149" s="604" t="s">
        <v>220</v>
      </c>
      <c r="C149" s="566"/>
      <c r="D149" s="566"/>
      <c r="E149" s="1">
        <v>480000</v>
      </c>
      <c r="F149" s="566" t="s">
        <v>217</v>
      </c>
      <c r="G149" s="566"/>
      <c r="H149" s="514"/>
      <c r="I149" s="611"/>
    </row>
    <row r="150" spans="2:9" ht="15" thickBot="1" x14ac:dyDescent="0.4">
      <c r="B150" s="605"/>
      <c r="C150" s="606"/>
      <c r="D150" s="606"/>
      <c r="E150" s="174"/>
      <c r="F150" s="517"/>
      <c r="G150" s="519"/>
      <c r="H150" s="517"/>
      <c r="I150" s="581"/>
    </row>
    <row r="151" spans="2:9" ht="15" thickBot="1" x14ac:dyDescent="0.4">
      <c r="B151" s="537"/>
      <c r="C151" s="538"/>
      <c r="D151" s="538"/>
      <c r="E151" s="175">
        <f ca="1">SUM(E148:E152)</f>
        <v>950000</v>
      </c>
      <c r="F151" s="591"/>
      <c r="G151" s="592"/>
      <c r="H151" s="591"/>
      <c r="I151" s="593"/>
    </row>
    <row r="152" spans="2:9" x14ac:dyDescent="0.35">
      <c r="B152"/>
    </row>
    <row r="153" spans="2:9" x14ac:dyDescent="0.35">
      <c r="B153"/>
    </row>
    <row r="154" spans="2:9" ht="15" thickBot="1" x14ac:dyDescent="0.4">
      <c r="B154"/>
    </row>
    <row r="155" spans="2:9" ht="19" thickBot="1" x14ac:dyDescent="0.5">
      <c r="B155" s="511" t="s">
        <v>320</v>
      </c>
      <c r="C155" s="512"/>
      <c r="D155" s="512"/>
      <c r="E155" s="512"/>
      <c r="F155" s="512"/>
      <c r="G155" s="512"/>
      <c r="H155" s="512"/>
      <c r="I155" s="513"/>
    </row>
    <row r="156" spans="2:9" ht="29.5" thickBot="1" x14ac:dyDescent="0.4">
      <c r="B156" s="301" t="s">
        <v>1</v>
      </c>
      <c r="C156" s="302" t="s">
        <v>7</v>
      </c>
      <c r="D156" s="302" t="s">
        <v>2</v>
      </c>
      <c r="E156" s="302" t="s">
        <v>3</v>
      </c>
      <c r="F156" s="302" t="s">
        <v>4</v>
      </c>
      <c r="G156" s="302" t="s">
        <v>24</v>
      </c>
      <c r="H156" s="302" t="s">
        <v>6</v>
      </c>
      <c r="I156" s="303" t="s">
        <v>25</v>
      </c>
    </row>
    <row r="157" spans="2:9" x14ac:dyDescent="0.35">
      <c r="B157" s="300"/>
      <c r="C157" s="335" t="s">
        <v>8</v>
      </c>
      <c r="D157" s="167"/>
      <c r="E157" s="167"/>
      <c r="F157" s="167"/>
      <c r="G157" s="167"/>
      <c r="H157" s="167"/>
      <c r="I157" s="130"/>
    </row>
    <row r="158" spans="2:9" x14ac:dyDescent="0.35">
      <c r="B158" s="85" t="s">
        <v>221</v>
      </c>
      <c r="C158" s="15">
        <v>325000</v>
      </c>
      <c r="D158" s="2">
        <v>44413</v>
      </c>
      <c r="E158" s="2">
        <v>44650</v>
      </c>
      <c r="F158" s="59">
        <f>+E158-D158</f>
        <v>237</v>
      </c>
      <c r="G158" s="4">
        <v>0.24</v>
      </c>
      <c r="H158" s="5">
        <f>C158*F158*G158/365</f>
        <v>50646.575342465752</v>
      </c>
      <c r="I158" s="86">
        <f>+C158+H158</f>
        <v>375646.57534246577</v>
      </c>
    </row>
    <row r="159" spans="2:9" x14ac:dyDescent="0.35">
      <c r="B159" s="85" t="s">
        <v>222</v>
      </c>
      <c r="C159" s="15">
        <v>200000</v>
      </c>
      <c r="D159" s="2">
        <v>44414</v>
      </c>
      <c r="E159" s="2">
        <v>44650</v>
      </c>
      <c r="F159" s="59">
        <f>+E159-D159</f>
        <v>236</v>
      </c>
      <c r="G159" s="4">
        <v>0.24</v>
      </c>
      <c r="H159" s="5">
        <f>C159*F159*G159/365</f>
        <v>31035.616438356163</v>
      </c>
      <c r="I159" s="86">
        <f>+C159+H159</f>
        <v>231035.61643835617</v>
      </c>
    </row>
    <row r="160" spans="2:9" x14ac:dyDescent="0.35">
      <c r="B160" s="85"/>
      <c r="C160" s="15"/>
      <c r="D160" s="2"/>
      <c r="E160" s="2"/>
      <c r="F160" s="59"/>
      <c r="G160" s="4"/>
      <c r="H160" s="5"/>
      <c r="I160" s="86"/>
    </row>
    <row r="161" spans="2:9" x14ac:dyDescent="0.35">
      <c r="B161" s="85"/>
      <c r="C161" s="54"/>
      <c r="D161" s="2"/>
      <c r="E161" s="2"/>
      <c r="F161" s="59"/>
      <c r="G161" s="4"/>
      <c r="H161" s="5"/>
      <c r="I161" s="86"/>
    </row>
    <row r="162" spans="2:9" x14ac:dyDescent="0.35">
      <c r="B162" s="87"/>
      <c r="C162" s="54"/>
      <c r="D162" s="2"/>
      <c r="E162" s="2"/>
      <c r="F162" s="3"/>
      <c r="G162" s="4"/>
      <c r="H162" s="8"/>
      <c r="I162" s="86"/>
    </row>
    <row r="163" spans="2:9" x14ac:dyDescent="0.35">
      <c r="B163" s="85"/>
      <c r="C163" s="514" t="s">
        <v>42</v>
      </c>
      <c r="D163" s="515"/>
      <c r="E163" s="515"/>
      <c r="F163" s="515"/>
      <c r="G163" s="516"/>
      <c r="H163" s="8">
        <f>SUM(H158:H162)</f>
        <v>81682.191780821915</v>
      </c>
      <c r="I163" s="86"/>
    </row>
    <row r="164" spans="2:9" ht="15" thickBot="1" x14ac:dyDescent="0.4">
      <c r="B164" s="119"/>
      <c r="C164" s="588" t="s">
        <v>43</v>
      </c>
      <c r="D164" s="589"/>
      <c r="E164" s="589"/>
      <c r="F164" s="589"/>
      <c r="G164" s="590"/>
      <c r="H164" s="120">
        <f>+C158+C159</f>
        <v>525000</v>
      </c>
      <c r="I164" s="121"/>
    </row>
    <row r="165" spans="2:9" s="9" customFormat="1" ht="15" thickBot="1" x14ac:dyDescent="0.4">
      <c r="B165" s="123"/>
      <c r="C165" s="585" t="s">
        <v>58</v>
      </c>
      <c r="D165" s="586"/>
      <c r="E165" s="586"/>
      <c r="F165" s="586"/>
      <c r="G165" s="587"/>
      <c r="H165" s="122">
        <f>SUM(H163:H164)</f>
        <v>606682.19178082189</v>
      </c>
      <c r="I165" s="124"/>
    </row>
    <row r="166" spans="2:9" s="9" customFormat="1" x14ac:dyDescent="0.35">
      <c r="B166" s="419" t="s">
        <v>1</v>
      </c>
      <c r="C166" s="410" t="s">
        <v>21</v>
      </c>
      <c r="D166" s="402"/>
      <c r="E166" s="402"/>
      <c r="F166" s="402"/>
      <c r="G166" s="402"/>
      <c r="H166" s="402"/>
      <c r="I166" s="418"/>
    </row>
    <row r="167" spans="2:9" ht="15.5" x14ac:dyDescent="0.35">
      <c r="B167" s="255" t="s">
        <v>318</v>
      </c>
      <c r="C167" s="411">
        <v>325000</v>
      </c>
      <c r="D167" s="399"/>
      <c r="E167" s="399"/>
      <c r="F167" s="399"/>
      <c r="G167" s="399"/>
      <c r="H167" s="256">
        <f>+C167</f>
        <v>325000</v>
      </c>
      <c r="I167" s="84"/>
    </row>
    <row r="168" spans="2:9" ht="15.5" x14ac:dyDescent="0.35">
      <c r="B168" s="255" t="s">
        <v>318</v>
      </c>
      <c r="C168" s="411">
        <v>200000</v>
      </c>
      <c r="D168" s="399"/>
      <c r="E168" s="399"/>
      <c r="F168" s="399"/>
      <c r="G168" s="399"/>
      <c r="H168" s="256">
        <f>+C168</f>
        <v>200000</v>
      </c>
      <c r="I168" s="84"/>
    </row>
    <row r="169" spans="2:9" ht="15" thickBot="1" x14ac:dyDescent="0.4">
      <c r="B169" s="179"/>
      <c r="C169" s="233"/>
      <c r="D169" s="233"/>
      <c r="E169" s="233"/>
      <c r="F169" s="233"/>
      <c r="G169" s="233"/>
      <c r="H169" s="174"/>
      <c r="I169" s="400"/>
    </row>
    <row r="170" spans="2:9" ht="15" thickBot="1" x14ac:dyDescent="0.4">
      <c r="B170" s="409"/>
      <c r="C170" s="536" t="s">
        <v>322</v>
      </c>
      <c r="D170" s="536"/>
      <c r="E170" s="536"/>
      <c r="F170" s="536"/>
      <c r="G170" s="536"/>
      <c r="H170" s="288">
        <f>+H165-H167-H168</f>
        <v>81682.191780821886</v>
      </c>
      <c r="I170" s="401"/>
    </row>
    <row r="171" spans="2:9" x14ac:dyDescent="0.35">
      <c r="B171"/>
    </row>
    <row r="172" spans="2:9" x14ac:dyDescent="0.35">
      <c r="B172"/>
    </row>
    <row r="173" spans="2:9" x14ac:dyDescent="0.35">
      <c r="B173"/>
    </row>
    <row r="174" spans="2:9" x14ac:dyDescent="0.35">
      <c r="B174"/>
    </row>
    <row r="175" spans="2:9" x14ac:dyDescent="0.35">
      <c r="B175"/>
    </row>
    <row r="176" spans="2:9" x14ac:dyDescent="0.35">
      <c r="B176"/>
    </row>
    <row r="177" spans="2:9" x14ac:dyDescent="0.35">
      <c r="B177"/>
    </row>
    <row r="178" spans="2:9" ht="15" thickBot="1" x14ac:dyDescent="0.4"/>
    <row r="179" spans="2:9" ht="19" thickBot="1" x14ac:dyDescent="0.5">
      <c r="B179" s="582" t="s">
        <v>328</v>
      </c>
      <c r="C179" s="583"/>
      <c r="D179" s="583"/>
      <c r="E179" s="583"/>
      <c r="F179" s="583"/>
      <c r="G179" s="583"/>
      <c r="H179" s="583"/>
      <c r="I179" s="584"/>
    </row>
    <row r="180" spans="2:9" ht="29.5" thickBot="1" x14ac:dyDescent="0.4">
      <c r="B180" s="301" t="s">
        <v>1</v>
      </c>
      <c r="C180" s="302" t="s">
        <v>7</v>
      </c>
      <c r="D180" s="302" t="s">
        <v>2</v>
      </c>
      <c r="E180" s="302" t="s">
        <v>3</v>
      </c>
      <c r="F180" s="302" t="s">
        <v>4</v>
      </c>
      <c r="G180" s="302" t="s">
        <v>24</v>
      </c>
      <c r="H180" s="302" t="s">
        <v>6</v>
      </c>
      <c r="I180" s="303" t="s">
        <v>25</v>
      </c>
    </row>
    <row r="181" spans="2:9" x14ac:dyDescent="0.35">
      <c r="B181" s="300"/>
      <c r="C181" s="335" t="s">
        <v>8</v>
      </c>
      <c r="D181" s="167"/>
      <c r="E181" s="167"/>
      <c r="F181" s="167"/>
      <c r="G181" s="167"/>
      <c r="H181" s="167"/>
      <c r="I181" s="130"/>
    </row>
    <row r="182" spans="2:9" x14ac:dyDescent="0.35">
      <c r="B182" s="85" t="s">
        <v>329</v>
      </c>
      <c r="C182" s="15">
        <v>4700000</v>
      </c>
      <c r="D182" s="2">
        <v>45651</v>
      </c>
      <c r="E182" s="2">
        <v>45686</v>
      </c>
      <c r="F182" s="59">
        <f>+E182-D182</f>
        <v>35</v>
      </c>
      <c r="G182" s="4">
        <v>0.24</v>
      </c>
      <c r="H182" s="5">
        <f>C182*F182*G182/365</f>
        <v>108164.38356164383</v>
      </c>
      <c r="I182" s="86">
        <f>+C182+H182</f>
        <v>4808164.3835616438</v>
      </c>
    </row>
    <row r="183" spans="2:9" x14ac:dyDescent="0.35">
      <c r="B183" s="85"/>
      <c r="C183" s="15"/>
      <c r="D183" s="2"/>
      <c r="E183" s="2"/>
      <c r="F183" s="59"/>
      <c r="G183" s="4"/>
      <c r="H183" s="5"/>
      <c r="I183" s="86"/>
    </row>
    <row r="184" spans="2:9" x14ac:dyDescent="0.35">
      <c r="B184" s="85"/>
      <c r="C184" s="15"/>
      <c r="D184" s="2"/>
      <c r="E184" s="2"/>
      <c r="F184" s="59"/>
      <c r="G184" s="4"/>
      <c r="H184" s="5"/>
      <c r="I184" s="86"/>
    </row>
    <row r="185" spans="2:9" x14ac:dyDescent="0.35">
      <c r="B185" s="85"/>
      <c r="C185" s="54"/>
      <c r="D185" s="2"/>
      <c r="E185" s="2"/>
      <c r="F185" s="59"/>
      <c r="G185" s="4"/>
      <c r="H185" s="5"/>
      <c r="I185" s="86"/>
    </row>
    <row r="186" spans="2:9" x14ac:dyDescent="0.35">
      <c r="B186" s="87"/>
      <c r="C186" s="54"/>
      <c r="D186" s="2"/>
      <c r="E186" s="2"/>
      <c r="F186" s="3"/>
      <c r="G186" s="4"/>
      <c r="H186" s="8"/>
      <c r="I186" s="86"/>
    </row>
    <row r="187" spans="2:9" x14ac:dyDescent="0.35">
      <c r="B187" s="85"/>
      <c r="C187" s="514" t="s">
        <v>42</v>
      </c>
      <c r="D187" s="515"/>
      <c r="E187" s="515"/>
      <c r="F187" s="515"/>
      <c r="G187" s="516"/>
      <c r="H187" s="8">
        <f>SUM(H182:H186)</f>
        <v>108164.38356164383</v>
      </c>
      <c r="I187" s="86"/>
    </row>
    <row r="188" spans="2:9" ht="15" thickBot="1" x14ac:dyDescent="0.4">
      <c r="B188" s="119"/>
      <c r="C188" s="517" t="s">
        <v>43</v>
      </c>
      <c r="D188" s="518"/>
      <c r="E188" s="518"/>
      <c r="F188" s="518"/>
      <c r="G188" s="519"/>
      <c r="H188" s="120">
        <f>+C182+C183</f>
        <v>4700000</v>
      </c>
      <c r="I188" s="121"/>
    </row>
    <row r="189" spans="2:9" ht="15" thickBot="1" x14ac:dyDescent="0.4">
      <c r="B189" s="123"/>
      <c r="C189" s="585" t="s">
        <v>58</v>
      </c>
      <c r="D189" s="586"/>
      <c r="E189" s="586"/>
      <c r="F189" s="586"/>
      <c r="G189" s="587"/>
      <c r="H189" s="122">
        <f>SUM(H187:H188)</f>
        <v>4808164.3835616438</v>
      </c>
      <c r="I189" s="124"/>
    </row>
    <row r="191" spans="2:9" x14ac:dyDescent="0.35">
      <c r="B191" s="580" t="s">
        <v>330</v>
      </c>
      <c r="C191" s="580"/>
      <c r="D191" s="580"/>
      <c r="E191" s="580"/>
      <c r="F191" s="580"/>
      <c r="G191" s="580"/>
      <c r="H191" s="580"/>
      <c r="I191" s="580"/>
    </row>
  </sheetData>
  <mergeCells count="42">
    <mergeCell ref="B1:J1"/>
    <mergeCell ref="B31:J31"/>
    <mergeCell ref="B40:G40"/>
    <mergeCell ref="B32:J32"/>
    <mergeCell ref="B116:I116"/>
    <mergeCell ref="B79:J79"/>
    <mergeCell ref="B80:J80"/>
    <mergeCell ref="B84:G84"/>
    <mergeCell ref="C88:E88"/>
    <mergeCell ref="B16:G16"/>
    <mergeCell ref="B58:J58"/>
    <mergeCell ref="B59:J59"/>
    <mergeCell ref="B65:G65"/>
    <mergeCell ref="C67:E67"/>
    <mergeCell ref="B149:D149"/>
    <mergeCell ref="B150:D150"/>
    <mergeCell ref="B146:I146"/>
    <mergeCell ref="F147:G147"/>
    <mergeCell ref="F148:G148"/>
    <mergeCell ref="F149:G149"/>
    <mergeCell ref="H147:I147"/>
    <mergeCell ref="H149:I149"/>
    <mergeCell ref="F150:G150"/>
    <mergeCell ref="D142:G142"/>
    <mergeCell ref="D143:G143"/>
    <mergeCell ref="D144:G144"/>
    <mergeCell ref="B147:D147"/>
    <mergeCell ref="B148:D148"/>
    <mergeCell ref="B191:I191"/>
    <mergeCell ref="H150:I150"/>
    <mergeCell ref="B179:I179"/>
    <mergeCell ref="C187:G187"/>
    <mergeCell ref="C188:G188"/>
    <mergeCell ref="C189:G189"/>
    <mergeCell ref="C170:G170"/>
    <mergeCell ref="B151:D151"/>
    <mergeCell ref="C163:G163"/>
    <mergeCell ref="C164:G164"/>
    <mergeCell ref="C165:G165"/>
    <mergeCell ref="B155:I155"/>
    <mergeCell ref="F151:G151"/>
    <mergeCell ref="H151:I151"/>
  </mergeCells>
  <printOptions horizontalCentered="1"/>
  <pageMargins left="0" right="0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18"/>
  <sheetViews>
    <sheetView topLeftCell="A363" workbookViewId="0">
      <selection activeCell="A345" sqref="A345"/>
    </sheetView>
  </sheetViews>
  <sheetFormatPr defaultRowHeight="14.5" x14ac:dyDescent="0.35"/>
  <cols>
    <col min="1" max="1" width="33.453125" style="6" customWidth="1"/>
    <col min="2" max="2" width="20.90625" style="20" bestFit="1" customWidth="1"/>
    <col min="3" max="3" width="14.90625" bestFit="1" customWidth="1"/>
    <col min="4" max="4" width="10.90625" customWidth="1"/>
    <col min="7" max="7" width="15.6328125" bestFit="1" customWidth="1"/>
    <col min="8" max="8" width="12" bestFit="1" customWidth="1"/>
    <col min="9" max="9" width="12" customWidth="1"/>
    <col min="10" max="10" width="13.54296875" bestFit="1" customWidth="1"/>
    <col min="12" max="12" width="12.453125" bestFit="1" customWidth="1"/>
    <col min="13" max="13" width="10.6328125" bestFit="1" customWidth="1"/>
    <col min="16" max="16" width="9.453125" bestFit="1" customWidth="1"/>
    <col min="17" max="17" width="15.6328125" bestFit="1" customWidth="1"/>
  </cols>
  <sheetData>
    <row r="1" spans="1:18" ht="14.4" x14ac:dyDescent="0.3">
      <c r="A1"/>
    </row>
    <row r="2" spans="1:18" ht="18" x14ac:dyDescent="0.35">
      <c r="A2" s="542" t="s">
        <v>23</v>
      </c>
      <c r="B2" s="542"/>
      <c r="C2" s="542"/>
      <c r="D2" s="542"/>
      <c r="E2" s="542"/>
      <c r="F2" s="542"/>
      <c r="G2" s="542"/>
      <c r="H2" s="542"/>
      <c r="K2" s="542" t="s">
        <v>0</v>
      </c>
      <c r="L2" s="542"/>
      <c r="M2" s="542"/>
      <c r="N2" s="542"/>
      <c r="O2" s="542"/>
      <c r="P2" s="542"/>
      <c r="Q2" s="542"/>
      <c r="R2" s="542"/>
    </row>
    <row r="3" spans="1:18" ht="14.4" x14ac:dyDescent="0.3">
      <c r="K3" s="6"/>
    </row>
    <row r="4" spans="1:18" s="10" customFormat="1" ht="14.4" x14ac:dyDescent="0.3">
      <c r="A4" s="12" t="s">
        <v>1</v>
      </c>
      <c r="B4" s="21" t="s">
        <v>7</v>
      </c>
      <c r="C4" s="12" t="s">
        <v>2</v>
      </c>
      <c r="D4" s="12" t="s">
        <v>3</v>
      </c>
      <c r="E4" s="12" t="s">
        <v>4</v>
      </c>
      <c r="F4" s="12" t="s">
        <v>24</v>
      </c>
      <c r="G4" s="12" t="s">
        <v>6</v>
      </c>
      <c r="H4" s="12" t="s">
        <v>25</v>
      </c>
      <c r="K4" s="12" t="s">
        <v>1</v>
      </c>
      <c r="L4" s="12" t="s">
        <v>7</v>
      </c>
      <c r="M4" s="12" t="s">
        <v>2</v>
      </c>
      <c r="N4" s="12" t="s">
        <v>3</v>
      </c>
      <c r="O4" s="12" t="s">
        <v>4</v>
      </c>
      <c r="P4" s="12" t="s">
        <v>24</v>
      </c>
      <c r="Q4" s="12" t="s">
        <v>6</v>
      </c>
      <c r="R4" s="12" t="s">
        <v>25</v>
      </c>
    </row>
    <row r="5" spans="1:18" ht="14.4" x14ac:dyDescent="0.3">
      <c r="A5" s="15"/>
      <c r="B5" s="21" t="s">
        <v>8</v>
      </c>
      <c r="C5" s="1"/>
      <c r="D5" s="1"/>
      <c r="E5" s="1"/>
      <c r="F5" s="1"/>
      <c r="G5" s="1"/>
      <c r="H5" s="1"/>
      <c r="K5" s="15"/>
      <c r="L5" s="12" t="s">
        <v>8</v>
      </c>
      <c r="M5" s="1"/>
      <c r="N5" s="1"/>
      <c r="O5" s="1"/>
      <c r="P5" s="1"/>
      <c r="Q5" s="1"/>
      <c r="R5" s="1"/>
    </row>
    <row r="6" spans="1:18" ht="14.4" x14ac:dyDescent="0.3">
      <c r="A6" s="25">
        <v>1</v>
      </c>
      <c r="B6" s="22">
        <v>1000000</v>
      </c>
      <c r="C6" s="2">
        <v>42451</v>
      </c>
      <c r="D6" s="2">
        <v>42816</v>
      </c>
      <c r="E6" s="3">
        <f>+D6-C6</f>
        <v>365</v>
      </c>
      <c r="F6" s="4">
        <v>0.18</v>
      </c>
      <c r="G6" s="5">
        <f>B6*E6*F6/365</f>
        <v>180000</v>
      </c>
      <c r="H6" s="5">
        <f>+B6+G6</f>
        <v>1180000</v>
      </c>
      <c r="I6" s="14"/>
      <c r="K6" s="16">
        <v>1</v>
      </c>
      <c r="L6" s="1">
        <v>1000000</v>
      </c>
      <c r="M6" s="2">
        <v>42451</v>
      </c>
      <c r="N6" s="2">
        <v>42816</v>
      </c>
      <c r="O6" s="3">
        <f>+N6-M6</f>
        <v>365</v>
      </c>
      <c r="P6" s="4">
        <v>0.18</v>
      </c>
      <c r="Q6" s="5">
        <f>L6*O6*P6/365</f>
        <v>180000</v>
      </c>
      <c r="R6" s="5">
        <f>+L6+Q6</f>
        <v>1180000</v>
      </c>
    </row>
    <row r="7" spans="1:18" ht="14.4" x14ac:dyDescent="0.3">
      <c r="A7" s="25"/>
      <c r="B7" s="23">
        <f>+H6</f>
        <v>1180000</v>
      </c>
      <c r="C7" s="2">
        <f>+D6</f>
        <v>42816</v>
      </c>
      <c r="D7" s="2">
        <v>43181</v>
      </c>
      <c r="E7" s="3">
        <f t="shared" ref="E7:E15" si="0">+D7-C7</f>
        <v>365</v>
      </c>
      <c r="F7" s="4">
        <v>0.18</v>
      </c>
      <c r="G7" s="5">
        <f t="shared" ref="G7:G15" si="1">B7*E7*F7/365</f>
        <v>212400</v>
      </c>
      <c r="H7" s="5">
        <f t="shared" ref="H7:H8" si="2">+B7+G7</f>
        <v>1392400</v>
      </c>
      <c r="I7" s="14"/>
      <c r="K7" s="16"/>
      <c r="L7" s="5">
        <f>+R6</f>
        <v>1180000</v>
      </c>
      <c r="M7" s="2">
        <f>+N6</f>
        <v>42816</v>
      </c>
      <c r="N7" s="2">
        <v>43181</v>
      </c>
      <c r="O7" s="3">
        <f t="shared" ref="O7:O8" si="3">+N7-M7</f>
        <v>365</v>
      </c>
      <c r="P7" s="4">
        <v>0.18</v>
      </c>
      <c r="Q7" s="5">
        <f t="shared" ref="Q7:Q8" si="4">L7*O7*P7/365</f>
        <v>212400</v>
      </c>
      <c r="R7" s="5">
        <f t="shared" ref="R7:R8" si="5">+L7+Q7</f>
        <v>1392400</v>
      </c>
    </row>
    <row r="8" spans="1:18" ht="14.4" x14ac:dyDescent="0.3">
      <c r="A8" s="25"/>
      <c r="B8" s="23">
        <f>+H7</f>
        <v>1392400</v>
      </c>
      <c r="C8" s="2">
        <f>+D7</f>
        <v>43181</v>
      </c>
      <c r="D8" s="2">
        <v>43546</v>
      </c>
      <c r="E8" s="3">
        <f t="shared" si="0"/>
        <v>365</v>
      </c>
      <c r="F8" s="4">
        <v>0.18</v>
      </c>
      <c r="G8" s="5">
        <f t="shared" si="1"/>
        <v>250632</v>
      </c>
      <c r="H8" s="5">
        <f t="shared" si="2"/>
        <v>1643032</v>
      </c>
      <c r="I8" s="11"/>
      <c r="K8" s="16"/>
      <c r="L8" s="5">
        <f>+R7</f>
        <v>1392400</v>
      </c>
      <c r="M8" s="2">
        <f>+N7</f>
        <v>43181</v>
      </c>
      <c r="N8" s="2">
        <v>43536</v>
      </c>
      <c r="O8" s="3">
        <f t="shared" si="3"/>
        <v>355</v>
      </c>
      <c r="P8" s="4">
        <v>0.18</v>
      </c>
      <c r="Q8" s="5">
        <f t="shared" si="4"/>
        <v>243765.36986301371</v>
      </c>
      <c r="R8" s="8">
        <f t="shared" si="5"/>
        <v>1636165.3698630137</v>
      </c>
    </row>
    <row r="9" spans="1:18" ht="14.4" x14ac:dyDescent="0.3">
      <c r="A9" s="25"/>
      <c r="B9" s="23">
        <f>+H8</f>
        <v>1643032</v>
      </c>
      <c r="C9" s="2">
        <f>+D8</f>
        <v>43546</v>
      </c>
      <c r="D9" s="2">
        <v>43921</v>
      </c>
      <c r="E9" s="3">
        <f t="shared" si="0"/>
        <v>375</v>
      </c>
      <c r="F9" s="4">
        <v>0.18</v>
      </c>
      <c r="G9" s="5">
        <f t="shared" ref="G9" si="6">B9*E9*F9/365</f>
        <v>303848.38356164383</v>
      </c>
      <c r="H9" s="8">
        <f>+B9+G9</f>
        <v>1946880.3835616438</v>
      </c>
      <c r="I9" s="11"/>
      <c r="K9" s="16"/>
      <c r="L9" s="5"/>
      <c r="M9" s="2"/>
      <c r="N9" s="2"/>
      <c r="O9" s="3"/>
      <c r="P9" s="4"/>
      <c r="Q9" s="5"/>
      <c r="R9" s="5"/>
    </row>
    <row r="10" spans="1:18" ht="14.4" x14ac:dyDescent="0.3">
      <c r="A10" s="25"/>
      <c r="B10" s="23"/>
      <c r="C10" s="2"/>
      <c r="D10" s="2"/>
      <c r="E10" s="3"/>
      <c r="F10" s="4"/>
      <c r="G10" s="5"/>
      <c r="H10" s="8"/>
      <c r="I10" s="14"/>
      <c r="K10" s="16"/>
      <c r="L10" s="5"/>
      <c r="M10" s="2"/>
      <c r="N10" s="2"/>
      <c r="O10" s="3"/>
      <c r="P10" s="4"/>
      <c r="Q10" s="8">
        <f>+SUM(Q6:Q9)</f>
        <v>636165.36986301374</v>
      </c>
      <c r="R10" s="5"/>
    </row>
    <row r="11" spans="1:18" ht="14.4" x14ac:dyDescent="0.3">
      <c r="A11" s="25"/>
      <c r="B11" s="23"/>
      <c r="C11" s="2"/>
      <c r="D11" s="2"/>
      <c r="E11" s="19">
        <f>SUM(E6:E10)</f>
        <v>1470</v>
      </c>
      <c r="F11" s="4"/>
      <c r="G11" s="8">
        <f>+SUM(G6:G10)</f>
        <v>946880.38356164377</v>
      </c>
      <c r="H11" s="5"/>
      <c r="I11" s="14"/>
      <c r="K11" s="16"/>
      <c r="L11" s="1"/>
      <c r="M11" s="2"/>
      <c r="N11" s="2"/>
      <c r="O11" s="3"/>
      <c r="P11" s="4"/>
      <c r="Q11" s="5"/>
      <c r="R11" s="5"/>
    </row>
    <row r="12" spans="1:18" ht="14.4" x14ac:dyDescent="0.3">
      <c r="A12" s="25"/>
      <c r="B12" s="22"/>
      <c r="C12" s="2"/>
      <c r="D12" s="2"/>
      <c r="E12" s="3"/>
      <c r="F12" s="4"/>
      <c r="G12" s="5"/>
      <c r="H12" s="5"/>
      <c r="I12" s="14"/>
      <c r="K12" s="16">
        <v>2</v>
      </c>
      <c r="L12" s="1">
        <v>1000000</v>
      </c>
      <c r="M12" s="2">
        <v>42418</v>
      </c>
      <c r="N12" s="2">
        <v>42783</v>
      </c>
      <c r="O12" s="3">
        <f t="shared" ref="O12:O16" si="7">+N12-M12</f>
        <v>365</v>
      </c>
      <c r="P12" s="4">
        <v>0.24</v>
      </c>
      <c r="Q12" s="5">
        <f t="shared" ref="Q12:Q16" si="8">L12*O12*P12/365</f>
        <v>240000</v>
      </c>
      <c r="R12" s="5">
        <f>+L12+Q12</f>
        <v>1240000</v>
      </c>
    </row>
    <row r="13" spans="1:18" ht="14.4" x14ac:dyDescent="0.3">
      <c r="A13" s="25">
        <v>2</v>
      </c>
      <c r="B13" s="22">
        <v>1000000</v>
      </c>
      <c r="C13" s="2">
        <v>42630</v>
      </c>
      <c r="D13" s="2">
        <v>42995</v>
      </c>
      <c r="E13" s="3">
        <f t="shared" si="0"/>
        <v>365</v>
      </c>
      <c r="F13" s="4">
        <v>0.24</v>
      </c>
      <c r="G13" s="5">
        <f t="shared" si="1"/>
        <v>240000</v>
      </c>
      <c r="H13" s="5">
        <f>+B13+G13</f>
        <v>1240000</v>
      </c>
      <c r="I13" s="14"/>
      <c r="K13" s="16"/>
      <c r="L13" s="5">
        <f>+R12</f>
        <v>1240000</v>
      </c>
      <c r="M13" s="2">
        <f>+N12</f>
        <v>42783</v>
      </c>
      <c r="N13" s="2">
        <v>43148</v>
      </c>
      <c r="O13" s="3">
        <f t="shared" si="7"/>
        <v>365</v>
      </c>
      <c r="P13" s="4">
        <v>0.24</v>
      </c>
      <c r="Q13" s="5">
        <f t="shared" si="8"/>
        <v>297600</v>
      </c>
      <c r="R13" s="5">
        <f>+Q13+L13</f>
        <v>1537600</v>
      </c>
    </row>
    <row r="14" spans="1:18" ht="14.4" x14ac:dyDescent="0.3">
      <c r="A14" s="25"/>
      <c r="B14" s="23">
        <f>+H13</f>
        <v>1240000</v>
      </c>
      <c r="C14" s="2">
        <f>+D13</f>
        <v>42995</v>
      </c>
      <c r="D14" s="2">
        <v>43360</v>
      </c>
      <c r="E14" s="3">
        <f t="shared" si="0"/>
        <v>365</v>
      </c>
      <c r="F14" s="4">
        <v>0.24</v>
      </c>
      <c r="G14" s="5">
        <f t="shared" si="1"/>
        <v>297600</v>
      </c>
      <c r="H14" s="5">
        <f>+G14+B14</f>
        <v>1537600</v>
      </c>
      <c r="I14" s="11"/>
      <c r="K14" s="16"/>
      <c r="L14" s="5">
        <f>+R13</f>
        <v>1537600</v>
      </c>
      <c r="M14" s="2">
        <f>+N13</f>
        <v>43148</v>
      </c>
      <c r="N14" s="2">
        <v>43513</v>
      </c>
      <c r="O14" s="3">
        <f t="shared" si="7"/>
        <v>365</v>
      </c>
      <c r="P14" s="4">
        <v>0.24</v>
      </c>
      <c r="Q14" s="5">
        <f t="shared" si="8"/>
        <v>369024</v>
      </c>
      <c r="R14" s="5">
        <f>+Q14+L14</f>
        <v>1906624</v>
      </c>
    </row>
    <row r="15" spans="1:18" ht="14.4" x14ac:dyDescent="0.3">
      <c r="A15" s="16"/>
      <c r="B15" s="23">
        <f>+H14</f>
        <v>1537600</v>
      </c>
      <c r="C15" s="2">
        <f>+D14</f>
        <v>43360</v>
      </c>
      <c r="D15" s="2">
        <v>43725</v>
      </c>
      <c r="E15" s="3">
        <f t="shared" si="0"/>
        <v>365</v>
      </c>
      <c r="F15" s="4">
        <v>0.24</v>
      </c>
      <c r="G15" s="5">
        <f t="shared" si="1"/>
        <v>369024</v>
      </c>
      <c r="H15" s="5">
        <f>+G15+B15</f>
        <v>1906624</v>
      </c>
      <c r="I15" s="11"/>
      <c r="K15" s="16"/>
      <c r="L15" s="5"/>
      <c r="M15" s="2"/>
      <c r="N15" s="2"/>
      <c r="O15" s="3"/>
      <c r="P15" s="4"/>
      <c r="Q15" s="5"/>
      <c r="R15" s="5"/>
    </row>
    <row r="16" spans="1:18" ht="14.4" x14ac:dyDescent="0.3">
      <c r="A16" s="16"/>
      <c r="B16" s="23">
        <f>+H15</f>
        <v>1906624</v>
      </c>
      <c r="C16" s="2">
        <f>+D15</f>
        <v>43725</v>
      </c>
      <c r="D16" s="2">
        <v>43921</v>
      </c>
      <c r="E16" s="3">
        <f t="shared" ref="E16" si="9">+D16-C16</f>
        <v>196</v>
      </c>
      <c r="F16" s="4">
        <v>0.24</v>
      </c>
      <c r="G16" s="5">
        <f t="shared" ref="G16" si="10">B16*E16*F16/365</f>
        <v>245719.43276712327</v>
      </c>
      <c r="H16" s="8">
        <f>+G16+B16</f>
        <v>2152343.4327671234</v>
      </c>
      <c r="I16" s="14"/>
      <c r="K16" s="16"/>
      <c r="L16" s="5">
        <f>+R14</f>
        <v>1906624</v>
      </c>
      <c r="M16" s="2">
        <f>+N14</f>
        <v>43513</v>
      </c>
      <c r="N16" s="2">
        <v>43536</v>
      </c>
      <c r="O16" s="3">
        <f t="shared" si="7"/>
        <v>23</v>
      </c>
      <c r="P16" s="4">
        <v>0.24</v>
      </c>
      <c r="Q16" s="5">
        <f t="shared" si="8"/>
        <v>28834.423232876714</v>
      </c>
      <c r="R16" s="5">
        <f>+Q16+L16</f>
        <v>1935458.4232328767</v>
      </c>
    </row>
    <row r="17" spans="1:18" ht="14.4" x14ac:dyDescent="0.3">
      <c r="A17" s="16"/>
      <c r="B17" s="23"/>
      <c r="C17" s="2"/>
      <c r="D17" s="2"/>
      <c r="E17" s="3"/>
      <c r="F17" s="4"/>
      <c r="G17" s="5"/>
      <c r="H17" s="8"/>
      <c r="I17" s="11"/>
      <c r="K17" s="539" t="s">
        <v>22</v>
      </c>
      <c r="L17" s="541"/>
      <c r="M17" s="541"/>
      <c r="N17" s="541"/>
      <c r="O17" s="541"/>
      <c r="P17" s="540"/>
      <c r="Q17" s="8">
        <f>SUM(Q12:Q16)</f>
        <v>935458.4232328767</v>
      </c>
      <c r="R17" s="8"/>
    </row>
    <row r="18" spans="1:18" ht="14.4" x14ac:dyDescent="0.3">
      <c r="A18" s="16"/>
      <c r="B18" s="22"/>
      <c r="C18" s="2"/>
      <c r="D18" s="2"/>
      <c r="E18" s="19">
        <f>SUM(E13:E15)</f>
        <v>1095</v>
      </c>
      <c r="F18" s="4"/>
      <c r="G18" s="5"/>
      <c r="H18" s="5"/>
      <c r="K18" s="6"/>
      <c r="O18" s="18"/>
    </row>
    <row r="19" spans="1:18" s="6" customFormat="1" ht="14.4" x14ac:dyDescent="0.3">
      <c r="A19" s="539" t="s">
        <v>22</v>
      </c>
      <c r="B19" s="541"/>
      <c r="C19" s="541"/>
      <c r="D19" s="541"/>
      <c r="E19" s="541"/>
      <c r="F19" s="540"/>
      <c r="G19" s="8">
        <f>SUM(G13:G18)</f>
        <v>1152343.4327671232</v>
      </c>
      <c r="H19" s="8"/>
      <c r="I19" s="10"/>
      <c r="K19" s="12" t="s">
        <v>1</v>
      </c>
      <c r="L19" s="12" t="s">
        <v>7</v>
      </c>
      <c r="M19" s="12" t="s">
        <v>2</v>
      </c>
      <c r="N19" s="12" t="s">
        <v>3</v>
      </c>
      <c r="O19" s="12" t="s">
        <v>4</v>
      </c>
      <c r="P19" s="12" t="s">
        <v>5</v>
      </c>
      <c r="Q19" s="12" t="s">
        <v>6</v>
      </c>
      <c r="R19" s="12"/>
    </row>
    <row r="20" spans="1:18" ht="14.4" x14ac:dyDescent="0.3">
      <c r="K20" s="15"/>
      <c r="L20" s="12" t="s">
        <v>9</v>
      </c>
      <c r="M20" s="1"/>
      <c r="N20" s="1"/>
      <c r="O20" s="1"/>
      <c r="P20" s="1"/>
      <c r="Q20" s="1"/>
      <c r="R20" s="1"/>
    </row>
    <row r="21" spans="1:18" ht="14.4" x14ac:dyDescent="0.3">
      <c r="A21" s="12" t="s">
        <v>1</v>
      </c>
      <c r="B21" s="21" t="s">
        <v>7</v>
      </c>
      <c r="C21" s="12" t="s">
        <v>2</v>
      </c>
      <c r="D21" s="12" t="s">
        <v>3</v>
      </c>
      <c r="E21" s="12" t="s">
        <v>4</v>
      </c>
      <c r="F21" s="12" t="s">
        <v>5</v>
      </c>
      <c r="G21" s="12" t="s">
        <v>6</v>
      </c>
      <c r="H21" s="12"/>
      <c r="I21" s="14"/>
      <c r="K21" s="17">
        <v>43265</v>
      </c>
      <c r="L21" s="1">
        <v>1000000</v>
      </c>
      <c r="M21" s="2">
        <v>43265</v>
      </c>
      <c r="N21" s="2">
        <v>43536</v>
      </c>
      <c r="O21" s="3">
        <f>+N21-M21</f>
        <v>271</v>
      </c>
      <c r="P21" s="4">
        <v>0.18</v>
      </c>
      <c r="Q21" s="5">
        <f>L21*O21*P21/365</f>
        <v>133643.83561643836</v>
      </c>
      <c r="R21" s="5"/>
    </row>
    <row r="22" spans="1:18" ht="14.4" x14ac:dyDescent="0.3">
      <c r="A22" s="15"/>
      <c r="B22" s="21" t="s">
        <v>9</v>
      </c>
      <c r="C22" s="1"/>
      <c r="D22" s="1"/>
      <c r="E22" s="1"/>
      <c r="F22" s="1"/>
      <c r="G22" s="1"/>
      <c r="H22" s="1"/>
      <c r="I22" s="14"/>
      <c r="K22" s="17">
        <v>43271</v>
      </c>
      <c r="L22" s="1">
        <v>500000</v>
      </c>
      <c r="M22" s="2">
        <v>43271</v>
      </c>
      <c r="N22" s="2">
        <v>43536</v>
      </c>
      <c r="O22" s="3">
        <f>+N22-M22</f>
        <v>265</v>
      </c>
      <c r="P22" s="4">
        <v>0.18</v>
      </c>
      <c r="Q22" s="5">
        <f>L22*O22*P22/365</f>
        <v>65342.465753424658</v>
      </c>
      <c r="R22" s="5"/>
    </row>
    <row r="23" spans="1:18" ht="14.4" x14ac:dyDescent="0.3">
      <c r="A23" s="17">
        <v>43265</v>
      </c>
      <c r="B23" s="22">
        <v>1000000</v>
      </c>
      <c r="C23" s="2">
        <v>43265</v>
      </c>
      <c r="D23" s="2">
        <v>43921</v>
      </c>
      <c r="E23" s="3">
        <f>+D23-C23</f>
        <v>656</v>
      </c>
      <c r="F23" s="4">
        <v>0.18</v>
      </c>
      <c r="G23" s="5">
        <f>B23*E23*F23/365</f>
        <v>323506.84931506851</v>
      </c>
      <c r="H23" s="5"/>
      <c r="K23" s="17"/>
      <c r="L23" s="1"/>
      <c r="M23" s="2"/>
      <c r="N23" s="2"/>
      <c r="O23" s="3"/>
      <c r="P23" s="4"/>
      <c r="Q23" s="5"/>
      <c r="R23" s="5"/>
    </row>
    <row r="24" spans="1:18" ht="14.4" x14ac:dyDescent="0.3">
      <c r="A24" s="17">
        <v>43271</v>
      </c>
      <c r="B24" s="22">
        <v>500000</v>
      </c>
      <c r="C24" s="2">
        <v>43271</v>
      </c>
      <c r="D24" s="2">
        <v>43921</v>
      </c>
      <c r="E24" s="3">
        <f>+D24-C24</f>
        <v>650</v>
      </c>
      <c r="F24" s="4">
        <v>0.24</v>
      </c>
      <c r="G24" s="5">
        <f>B24*E24*F24/365</f>
        <v>213698.63013698629</v>
      </c>
      <c r="H24" s="5"/>
      <c r="I24" s="11"/>
      <c r="K24" s="15"/>
      <c r="L24" s="7">
        <f>SUM(L21:L22)</f>
        <v>1500000</v>
      </c>
      <c r="M24" s="2"/>
      <c r="N24" s="2"/>
      <c r="O24" s="1"/>
      <c r="P24" s="1"/>
      <c r="Q24" s="1"/>
      <c r="R24" s="1"/>
    </row>
    <row r="25" spans="1:18" ht="14.4" x14ac:dyDescent="0.3">
      <c r="A25" s="17">
        <v>43536</v>
      </c>
      <c r="B25" s="22">
        <v>750000</v>
      </c>
      <c r="C25" s="2">
        <v>43536</v>
      </c>
      <c r="D25" s="2">
        <v>43921</v>
      </c>
      <c r="E25" s="3">
        <f>+D25-C25</f>
        <v>385</v>
      </c>
      <c r="F25" s="4">
        <v>0.24</v>
      </c>
      <c r="G25" s="5">
        <f>B25*E25*F25/365</f>
        <v>189863.01369863015</v>
      </c>
      <c r="H25" s="5"/>
      <c r="I25" s="11"/>
      <c r="K25" s="539" t="s">
        <v>11</v>
      </c>
      <c r="L25" s="541"/>
      <c r="M25" s="541"/>
      <c r="N25" s="541"/>
      <c r="O25" s="541"/>
      <c r="P25" s="540"/>
      <c r="Q25" s="8">
        <f>SUM(Q21:Q24)</f>
        <v>198986.30136986301</v>
      </c>
      <c r="R25" s="8">
        <f>+R16+R8</f>
        <v>3571623.7930958904</v>
      </c>
    </row>
    <row r="26" spans="1:18" ht="14.4" x14ac:dyDescent="0.3">
      <c r="A26" s="17">
        <v>43565</v>
      </c>
      <c r="B26" s="22">
        <v>250000</v>
      </c>
      <c r="C26" s="2">
        <f>+A26</f>
        <v>43565</v>
      </c>
      <c r="D26" s="2">
        <f>+D25</f>
        <v>43921</v>
      </c>
      <c r="E26" s="3">
        <f>+D26-C26</f>
        <v>356</v>
      </c>
      <c r="F26" s="4">
        <v>0.24</v>
      </c>
      <c r="G26" s="5">
        <f>B26*E26*F26/365</f>
        <v>58520.547945205479</v>
      </c>
      <c r="H26" s="5"/>
      <c r="I26" s="11"/>
      <c r="K26" s="10"/>
      <c r="L26" s="10"/>
      <c r="M26" s="10"/>
      <c r="N26" s="10"/>
      <c r="O26" s="10"/>
      <c r="P26" s="10"/>
      <c r="Q26" s="11"/>
      <c r="R26" s="11"/>
    </row>
    <row r="27" spans="1:18" ht="14.4" x14ac:dyDescent="0.3">
      <c r="A27" s="17"/>
      <c r="B27" s="22"/>
      <c r="C27" s="2"/>
      <c r="D27" s="2"/>
      <c r="E27" s="3"/>
      <c r="F27" s="4"/>
      <c r="G27" s="5"/>
      <c r="H27" s="5"/>
      <c r="I27" s="11"/>
      <c r="K27" s="10"/>
      <c r="L27" s="10"/>
      <c r="M27" s="10"/>
      <c r="N27" s="10"/>
      <c r="O27" s="10"/>
      <c r="P27" s="10"/>
      <c r="Q27" s="11"/>
      <c r="R27" s="11"/>
    </row>
    <row r="28" spans="1:18" ht="14.4" x14ac:dyDescent="0.3">
      <c r="A28" s="15"/>
      <c r="B28" s="21">
        <f>SUM(B23:B27)</f>
        <v>2500000</v>
      </c>
      <c r="C28" s="2"/>
      <c r="D28" s="2"/>
      <c r="E28" s="1"/>
      <c r="F28" s="1"/>
      <c r="G28" s="1"/>
      <c r="H28" s="1"/>
      <c r="I28" s="11"/>
      <c r="K28" s="10"/>
      <c r="L28" s="10"/>
      <c r="M28" s="10"/>
      <c r="N28" s="10"/>
      <c r="O28" s="10"/>
      <c r="P28" s="10"/>
      <c r="Q28" s="11"/>
      <c r="R28" s="11"/>
    </row>
    <row r="29" spans="1:18" ht="14.4" x14ac:dyDescent="0.3">
      <c r="A29" s="539" t="s">
        <v>11</v>
      </c>
      <c r="B29" s="541"/>
      <c r="C29" s="541"/>
      <c r="D29" s="541"/>
      <c r="E29" s="541"/>
      <c r="F29" s="540"/>
      <c r="G29" s="8">
        <f>SUM(G23:G28)</f>
        <v>785589.04109589045</v>
      </c>
      <c r="H29" s="8">
        <f>+G29+B28+750000</f>
        <v>4035589.0410958906</v>
      </c>
      <c r="I29" s="11"/>
      <c r="K29" s="10"/>
      <c r="L29" s="10"/>
      <c r="M29" s="10"/>
      <c r="N29" s="10"/>
      <c r="O29" s="10"/>
      <c r="P29" s="10"/>
      <c r="Q29" s="11"/>
      <c r="R29" s="11"/>
    </row>
    <row r="30" spans="1:18" ht="14.4" x14ac:dyDescent="0.3">
      <c r="A30" s="543"/>
      <c r="B30" s="543"/>
      <c r="C30" s="543"/>
      <c r="D30" s="543"/>
      <c r="E30" s="543"/>
      <c r="F30" s="543"/>
      <c r="G30" s="8"/>
      <c r="H30" s="8"/>
    </row>
    <row r="31" spans="1:18" ht="15" thickBot="1" x14ac:dyDescent="0.35">
      <c r="A31" s="10"/>
      <c r="B31" s="24" t="s">
        <v>15</v>
      </c>
      <c r="C31" s="10"/>
      <c r="D31" s="10"/>
      <c r="E31" s="10"/>
      <c r="F31" s="10"/>
      <c r="G31" s="11"/>
      <c r="H31" s="11"/>
      <c r="Q31" s="11">
        <f>+Q17-Q25</f>
        <v>736472.12186301372</v>
      </c>
    </row>
    <row r="32" spans="1:18" ht="14.4" x14ac:dyDescent="0.3">
      <c r="A32" s="12"/>
      <c r="B32" s="21"/>
      <c r="C32" s="12" t="s">
        <v>21</v>
      </c>
      <c r="D32" s="12" t="s">
        <v>8</v>
      </c>
      <c r="E32" s="10"/>
      <c r="F32" s="10"/>
      <c r="G32" s="26" t="s">
        <v>26</v>
      </c>
      <c r="H32" s="27">
        <f>+H9+H16</f>
        <v>4099223.8163287672</v>
      </c>
      <c r="J32" s="14">
        <f>+Q17-G19</f>
        <v>-216885.00953424652</v>
      </c>
    </row>
    <row r="33" spans="1:18" ht="14.4" x14ac:dyDescent="0.3">
      <c r="A33" s="12" t="s">
        <v>16</v>
      </c>
      <c r="B33" s="13" t="s">
        <v>12</v>
      </c>
      <c r="C33" s="13"/>
      <c r="D33" s="12">
        <v>1026667</v>
      </c>
      <c r="E33" s="10"/>
      <c r="F33" s="10"/>
      <c r="G33" s="28" t="s">
        <v>20</v>
      </c>
      <c r="H33" s="29"/>
      <c r="L33" t="s">
        <v>26</v>
      </c>
      <c r="N33" s="14">
        <f>+R25</f>
        <v>3571623.7930958904</v>
      </c>
    </row>
    <row r="34" spans="1:18" ht="14.4" x14ac:dyDescent="0.3">
      <c r="A34" s="12" t="s">
        <v>17</v>
      </c>
      <c r="B34" s="13" t="s">
        <v>12</v>
      </c>
      <c r="C34" s="13"/>
      <c r="D34" s="12">
        <v>1000000</v>
      </c>
      <c r="E34" s="10"/>
      <c r="F34" s="10"/>
      <c r="G34" s="28" t="s">
        <v>28</v>
      </c>
      <c r="H34" s="29">
        <f>+G29</f>
        <v>785589.04109589045</v>
      </c>
      <c r="L34" t="s">
        <v>27</v>
      </c>
    </row>
    <row r="35" spans="1:18" ht="14.4" x14ac:dyDescent="0.3">
      <c r="A35" s="12" t="s">
        <v>20</v>
      </c>
      <c r="B35" s="21"/>
      <c r="C35" s="12"/>
      <c r="D35" s="12"/>
      <c r="G35" s="28" t="s">
        <v>29</v>
      </c>
      <c r="H35" s="30">
        <f>+B28</f>
        <v>2500000</v>
      </c>
      <c r="L35" t="s">
        <v>28</v>
      </c>
      <c r="N35">
        <v>-198986</v>
      </c>
    </row>
    <row r="36" spans="1:18" ht="14.4" x14ac:dyDescent="0.3">
      <c r="A36" s="12" t="s">
        <v>18</v>
      </c>
      <c r="B36" s="21" t="s">
        <v>21</v>
      </c>
      <c r="C36" s="12">
        <v>1000000</v>
      </c>
      <c r="D36" s="12"/>
      <c r="G36" s="31"/>
      <c r="H36" s="32"/>
      <c r="L36" t="s">
        <v>21</v>
      </c>
      <c r="N36">
        <v>-1500000</v>
      </c>
    </row>
    <row r="37" spans="1:18" ht="14.4" x14ac:dyDescent="0.3">
      <c r="A37" s="12" t="s">
        <v>19</v>
      </c>
      <c r="B37" s="21" t="s">
        <v>21</v>
      </c>
      <c r="C37" s="12">
        <v>500000</v>
      </c>
      <c r="D37" s="12"/>
      <c r="G37" s="28" t="s">
        <v>14</v>
      </c>
      <c r="H37" s="29">
        <f>+H32-H34-H35</f>
        <v>813634.77523287665</v>
      </c>
    </row>
    <row r="38" spans="1:18" ht="15" thickBot="1" x14ac:dyDescent="0.35">
      <c r="A38" s="12"/>
      <c r="B38" s="21"/>
      <c r="C38" s="12"/>
      <c r="D38" s="12"/>
      <c r="G38" s="33"/>
      <c r="H38" s="32"/>
      <c r="N38" s="9">
        <f>SUM(N32:N37)</f>
        <v>1872637.7930958904</v>
      </c>
    </row>
    <row r="39" spans="1:18" ht="15" thickBot="1" x14ac:dyDescent="0.35">
      <c r="A39" s="12"/>
      <c r="B39" s="21" t="s">
        <v>22</v>
      </c>
      <c r="C39" s="12">
        <f>+SUM(C36:C38)</f>
        <v>1500000</v>
      </c>
      <c r="D39" s="12">
        <f>+SUM(D33:D38)</f>
        <v>2026667</v>
      </c>
      <c r="G39" s="34" t="s">
        <v>14</v>
      </c>
      <c r="H39" s="35">
        <f>+H37-H38</f>
        <v>813634.77523287665</v>
      </c>
      <c r="N39">
        <v>750000</v>
      </c>
    </row>
    <row r="40" spans="1:18" ht="14.4" x14ac:dyDescent="0.3">
      <c r="G40" s="14"/>
      <c r="H40">
        <v>27000</v>
      </c>
      <c r="N40">
        <f>+N38-N39</f>
        <v>1122637.7930958904</v>
      </c>
    </row>
    <row r="41" spans="1:18" ht="14.4" x14ac:dyDescent="0.3">
      <c r="H41" s="14">
        <f>+H39-H40</f>
        <v>786634.77523287665</v>
      </c>
    </row>
    <row r="44" spans="1:18" ht="14.4" x14ac:dyDescent="0.3">
      <c r="G44" s="9" t="s">
        <v>31</v>
      </c>
      <c r="H44" s="9">
        <v>1124199</v>
      </c>
    </row>
    <row r="46" spans="1:18" ht="14.4" x14ac:dyDescent="0.3">
      <c r="G46" s="36" t="s">
        <v>32</v>
      </c>
      <c r="H46" s="36">
        <f>+H44-H39</f>
        <v>310564.22476712335</v>
      </c>
      <c r="K46" s="16"/>
      <c r="L46" s="5">
        <f>+R45</f>
        <v>0</v>
      </c>
      <c r="M46" s="2">
        <f>+N45</f>
        <v>0</v>
      </c>
      <c r="N46" s="2">
        <v>43181</v>
      </c>
      <c r="O46" s="3">
        <f t="shared" ref="O46:O47" si="11">+N46-M46</f>
        <v>43181</v>
      </c>
      <c r="P46" s="4">
        <v>0.18</v>
      </c>
      <c r="Q46" s="5">
        <f t="shared" ref="Q46:Q47" si="12">L46*O46*P46/365</f>
        <v>0</v>
      </c>
      <c r="R46" s="5">
        <f t="shared" ref="R46:R47" si="13">+L46+Q46</f>
        <v>0</v>
      </c>
    </row>
    <row r="47" spans="1:18" ht="14.4" x14ac:dyDescent="0.3">
      <c r="G47" s="14"/>
      <c r="K47" s="16"/>
      <c r="L47" s="5">
        <f>+R46</f>
        <v>0</v>
      </c>
      <c r="M47" s="2">
        <f>+N46</f>
        <v>43181</v>
      </c>
      <c r="N47" s="2">
        <v>43536</v>
      </c>
      <c r="O47" s="3">
        <f t="shared" si="11"/>
        <v>355</v>
      </c>
      <c r="P47" s="4">
        <v>0.18</v>
      </c>
      <c r="Q47" s="5">
        <f t="shared" si="12"/>
        <v>0</v>
      </c>
      <c r="R47" s="8">
        <f t="shared" si="13"/>
        <v>0</v>
      </c>
    </row>
    <row r="48" spans="1:18" ht="14.4" x14ac:dyDescent="0.3">
      <c r="I48" s="14"/>
    </row>
    <row r="49" spans="1:9" ht="14.4" x14ac:dyDescent="0.3">
      <c r="I49" s="11"/>
    </row>
    <row r="53" spans="1:9" ht="14.4" x14ac:dyDescent="0.3">
      <c r="A53" s="16"/>
      <c r="B53" s="23">
        <v>1000000</v>
      </c>
      <c r="C53" s="2">
        <v>42177</v>
      </c>
      <c r="D53" s="2">
        <v>42379</v>
      </c>
      <c r="E53" s="3">
        <f t="shared" ref="E53:E54" si="14">+D53-C53</f>
        <v>202</v>
      </c>
      <c r="F53" s="4">
        <v>0.24</v>
      </c>
      <c r="G53" s="5">
        <f t="shared" ref="G53:G54" si="15">B53*E53*F53/365</f>
        <v>132821.91780821918</v>
      </c>
      <c r="H53" s="5">
        <f t="shared" ref="H53:H54" si="16">+B53+G53</f>
        <v>1132821.9178082191</v>
      </c>
    </row>
    <row r="54" spans="1:9" ht="14.4" x14ac:dyDescent="0.3">
      <c r="A54" s="16"/>
      <c r="B54" s="23">
        <v>500000</v>
      </c>
      <c r="C54" s="2">
        <f>+D53</f>
        <v>42379</v>
      </c>
      <c r="D54" s="2">
        <v>42401</v>
      </c>
      <c r="E54" s="3">
        <f t="shared" si="14"/>
        <v>22</v>
      </c>
      <c r="F54" s="4">
        <v>0.24</v>
      </c>
      <c r="G54" s="5">
        <f t="shared" si="15"/>
        <v>7232.8767123287671</v>
      </c>
      <c r="H54" s="8">
        <f t="shared" si="16"/>
        <v>507232.87671232875</v>
      </c>
    </row>
    <row r="56" spans="1:9" ht="14.4" x14ac:dyDescent="0.3">
      <c r="G56" s="14">
        <f>+G53-G54</f>
        <v>125589.04109589041</v>
      </c>
    </row>
    <row r="65" spans="1:8" ht="18" x14ac:dyDescent="0.35">
      <c r="A65" s="542" t="s">
        <v>23</v>
      </c>
      <c r="B65" s="542"/>
      <c r="C65" s="542"/>
      <c r="D65" s="542"/>
      <c r="E65" s="542"/>
      <c r="F65" s="542"/>
      <c r="G65" s="542"/>
      <c r="H65" s="542"/>
    </row>
    <row r="67" spans="1:8" ht="14.4" x14ac:dyDescent="0.3">
      <c r="A67" s="12" t="s">
        <v>1</v>
      </c>
      <c r="B67" s="21" t="s">
        <v>7</v>
      </c>
      <c r="C67" s="12" t="s">
        <v>2</v>
      </c>
      <c r="D67" s="12" t="s">
        <v>3</v>
      </c>
      <c r="E67" s="12" t="s">
        <v>4</v>
      </c>
      <c r="F67" s="12" t="s">
        <v>24</v>
      </c>
      <c r="G67" s="12" t="s">
        <v>6</v>
      </c>
      <c r="H67" s="12" t="s">
        <v>25</v>
      </c>
    </row>
    <row r="68" spans="1:8" ht="14.4" x14ac:dyDescent="0.3">
      <c r="A68" s="15"/>
      <c r="B68" s="21" t="s">
        <v>8</v>
      </c>
      <c r="C68" s="1"/>
      <c r="D68" s="1"/>
      <c r="E68" s="1"/>
      <c r="F68" s="1"/>
      <c r="G68" s="1"/>
      <c r="H68" s="1"/>
    </row>
    <row r="69" spans="1:8" ht="14.4" x14ac:dyDescent="0.3">
      <c r="A69" s="25">
        <v>1</v>
      </c>
      <c r="B69" s="22">
        <v>1000000</v>
      </c>
      <c r="C69" s="2">
        <v>42451</v>
      </c>
      <c r="D69" s="2">
        <v>42816</v>
      </c>
      <c r="E69" s="3">
        <f>+D69-C69</f>
        <v>365</v>
      </c>
      <c r="F69" s="4">
        <v>0.24</v>
      </c>
      <c r="G69" s="5">
        <f>B69*E69*F69/365</f>
        <v>240000</v>
      </c>
      <c r="H69" s="5">
        <f>+B69+G69</f>
        <v>1240000</v>
      </c>
    </row>
    <row r="70" spans="1:8" ht="14.4" x14ac:dyDescent="0.3">
      <c r="A70" s="25"/>
      <c r="B70" s="23">
        <f>+H69</f>
        <v>1240000</v>
      </c>
      <c r="C70" s="2">
        <f>+D69</f>
        <v>42816</v>
      </c>
      <c r="D70" s="2">
        <v>43181</v>
      </c>
      <c r="E70" s="3">
        <f t="shared" ref="E70:E71" si="17">+D70-C70</f>
        <v>365</v>
      </c>
      <c r="F70" s="4">
        <v>0.24</v>
      </c>
      <c r="G70" s="5">
        <f t="shared" ref="G70:G71" si="18">B70*E70*F70/365</f>
        <v>297600</v>
      </c>
      <c r="H70" s="5">
        <f t="shared" ref="H70:H71" si="19">+B70+G70</f>
        <v>1537600</v>
      </c>
    </row>
    <row r="71" spans="1:8" ht="14.4" x14ac:dyDescent="0.3">
      <c r="A71" s="25"/>
      <c r="B71" s="23">
        <f>+H70</f>
        <v>1537600</v>
      </c>
      <c r="C71" s="2">
        <f>+D70</f>
        <v>43181</v>
      </c>
      <c r="D71" s="2">
        <v>43536</v>
      </c>
      <c r="E71" s="3">
        <f t="shared" si="17"/>
        <v>355</v>
      </c>
      <c r="F71" s="4">
        <v>0.24</v>
      </c>
      <c r="G71" s="5">
        <f t="shared" si="18"/>
        <v>358913.75342465751</v>
      </c>
      <c r="H71" s="8">
        <f t="shared" si="19"/>
        <v>1896513.7534246575</v>
      </c>
    </row>
    <row r="72" spans="1:8" ht="14.4" x14ac:dyDescent="0.3">
      <c r="A72" s="25"/>
      <c r="B72" s="23"/>
      <c r="C72" s="2"/>
      <c r="D72" s="2"/>
      <c r="E72" s="3"/>
      <c r="F72" s="4"/>
      <c r="G72" s="5"/>
      <c r="H72" s="8"/>
    </row>
    <row r="73" spans="1:8" ht="14.4" x14ac:dyDescent="0.3">
      <c r="A73" s="25"/>
      <c r="B73" s="23"/>
      <c r="C73" s="2"/>
      <c r="D73" s="2"/>
      <c r="E73" s="19">
        <f>SUM(E69:E72)</f>
        <v>1085</v>
      </c>
      <c r="F73" s="4"/>
      <c r="G73" s="8">
        <f>+SUM(G69:G72)</f>
        <v>896513.75342465751</v>
      </c>
      <c r="H73" s="5"/>
    </row>
    <row r="74" spans="1:8" ht="14.4" x14ac:dyDescent="0.3">
      <c r="A74" s="25"/>
      <c r="B74" s="22"/>
      <c r="C74" s="2"/>
      <c r="D74" s="2"/>
      <c r="E74" s="3"/>
      <c r="F74" s="4"/>
      <c r="G74" s="5"/>
      <c r="H74" s="5"/>
    </row>
    <row r="75" spans="1:8" ht="14.4" x14ac:dyDescent="0.3">
      <c r="A75" s="25">
        <v>2</v>
      </c>
      <c r="B75" s="22">
        <v>1000000</v>
      </c>
      <c r="C75" s="2">
        <v>42631</v>
      </c>
      <c r="D75" s="2">
        <v>42996</v>
      </c>
      <c r="E75" s="3">
        <f t="shared" ref="E75:E77" si="20">+D75-C75</f>
        <v>365</v>
      </c>
      <c r="F75" s="4">
        <v>0.18</v>
      </c>
      <c r="G75" s="5">
        <f t="shared" ref="G75:G77" si="21">B75*E75*F75/365</f>
        <v>180000</v>
      </c>
      <c r="H75" s="5">
        <f>+B75+G75</f>
        <v>1180000</v>
      </c>
    </row>
    <row r="76" spans="1:8" ht="14.4" x14ac:dyDescent="0.3">
      <c r="A76" s="25"/>
      <c r="B76" s="23">
        <f>+H75</f>
        <v>1180000</v>
      </c>
      <c r="C76" s="2">
        <f>+D75</f>
        <v>42996</v>
      </c>
      <c r="D76" s="2">
        <v>43361</v>
      </c>
      <c r="E76" s="3">
        <f t="shared" si="20"/>
        <v>365</v>
      </c>
      <c r="F76" s="4">
        <v>0.18</v>
      </c>
      <c r="G76" s="5">
        <f t="shared" si="21"/>
        <v>212400</v>
      </c>
      <c r="H76" s="5">
        <f>+G76+B76</f>
        <v>1392400</v>
      </c>
    </row>
    <row r="77" spans="1:8" ht="14.4" x14ac:dyDescent="0.3">
      <c r="A77" s="16"/>
      <c r="B77" s="23">
        <f>+H76</f>
        <v>1392400</v>
      </c>
      <c r="C77" s="2">
        <f>+D76</f>
        <v>43361</v>
      </c>
      <c r="D77" s="2">
        <v>43536</v>
      </c>
      <c r="E77" s="3">
        <f t="shared" si="20"/>
        <v>175</v>
      </c>
      <c r="F77" s="4">
        <v>0.18</v>
      </c>
      <c r="G77" s="5">
        <f t="shared" si="21"/>
        <v>120166.02739726027</v>
      </c>
      <c r="H77" s="8">
        <f>+G77+B77</f>
        <v>1512566.0273972603</v>
      </c>
    </row>
    <row r="78" spans="1:8" ht="14.4" x14ac:dyDescent="0.3">
      <c r="A78" s="16"/>
      <c r="B78" s="23"/>
      <c r="C78" s="2"/>
      <c r="D78" s="2"/>
      <c r="E78" s="3"/>
      <c r="F78" s="4"/>
      <c r="G78" s="5"/>
      <c r="H78" s="8"/>
    </row>
    <row r="79" spans="1:8" ht="14.4" x14ac:dyDescent="0.3">
      <c r="A79" s="16"/>
      <c r="B79" s="22"/>
      <c r="C79" s="2"/>
      <c r="D79" s="2"/>
      <c r="E79" s="19">
        <f>SUM(E75:E77)</f>
        <v>905</v>
      </c>
      <c r="F79" s="4"/>
      <c r="G79" s="5"/>
      <c r="H79" s="5"/>
    </row>
    <row r="80" spans="1:8" ht="14.4" x14ac:dyDescent="0.3">
      <c r="A80" s="539" t="s">
        <v>22</v>
      </c>
      <c r="B80" s="541"/>
      <c r="C80" s="541"/>
      <c r="D80" s="541"/>
      <c r="E80" s="541"/>
      <c r="F80" s="540"/>
      <c r="G80" s="8">
        <f>SUM(G75:G79)</f>
        <v>512566.0273972603</v>
      </c>
      <c r="H80" s="8"/>
    </row>
    <row r="82" spans="1:8" ht="14.4" x14ac:dyDescent="0.3">
      <c r="A82" s="12" t="s">
        <v>1</v>
      </c>
      <c r="B82" s="21" t="s">
        <v>7</v>
      </c>
      <c r="C82" s="12" t="s">
        <v>2</v>
      </c>
      <c r="D82" s="12" t="s">
        <v>3</v>
      </c>
      <c r="E82" s="12" t="s">
        <v>4</v>
      </c>
      <c r="F82" s="12" t="s">
        <v>5</v>
      </c>
      <c r="G82" s="12" t="s">
        <v>6</v>
      </c>
      <c r="H82" s="12"/>
    </row>
    <row r="83" spans="1:8" ht="14.4" x14ac:dyDescent="0.3">
      <c r="A83" s="15"/>
      <c r="B83" s="21" t="s">
        <v>9</v>
      </c>
      <c r="C83" s="1"/>
      <c r="D83" s="1"/>
      <c r="E83" s="1"/>
      <c r="F83" s="1"/>
      <c r="G83" s="1"/>
      <c r="H83" s="1"/>
    </row>
    <row r="84" spans="1:8" ht="14.4" x14ac:dyDescent="0.3">
      <c r="A84" s="17">
        <v>43265</v>
      </c>
      <c r="B84" s="22">
        <v>1000000</v>
      </c>
      <c r="C84" s="2">
        <v>43265</v>
      </c>
      <c r="D84" s="2">
        <v>43536</v>
      </c>
      <c r="E84" s="3">
        <f>+D84-C84</f>
        <v>271</v>
      </c>
      <c r="F84" s="4">
        <v>0.18</v>
      </c>
      <c r="G84" s="5">
        <f>B84*E84*F84/365</f>
        <v>133643.83561643836</v>
      </c>
      <c r="H84" s="5"/>
    </row>
    <row r="85" spans="1:8" ht="14.4" x14ac:dyDescent="0.3">
      <c r="A85" s="17">
        <v>43271</v>
      </c>
      <c r="B85" s="22">
        <v>500000</v>
      </c>
      <c r="C85" s="2">
        <v>43271</v>
      </c>
      <c r="D85" s="2">
        <v>43536</v>
      </c>
      <c r="E85" s="3">
        <f>+D85-C85</f>
        <v>265</v>
      </c>
      <c r="F85" s="4">
        <v>0.24</v>
      </c>
      <c r="G85" s="5">
        <f>B85*E85*F85/365</f>
        <v>87123.287671232873</v>
      </c>
      <c r="H85" s="5"/>
    </row>
    <row r="86" spans="1:8" ht="14.4" x14ac:dyDescent="0.3">
      <c r="A86" s="15"/>
      <c r="B86" s="21">
        <f>SUM(B84:B85)</f>
        <v>1500000</v>
      </c>
      <c r="C86" s="2"/>
      <c r="D86" s="2"/>
      <c r="E86" s="1"/>
      <c r="F86" s="1"/>
      <c r="G86" s="1"/>
      <c r="H86" s="1"/>
    </row>
    <row r="87" spans="1:8" ht="14.4" x14ac:dyDescent="0.3">
      <c r="A87" s="539" t="s">
        <v>11</v>
      </c>
      <c r="B87" s="541"/>
      <c r="C87" s="541"/>
      <c r="D87" s="541"/>
      <c r="E87" s="541"/>
      <c r="F87" s="540"/>
      <c r="G87" s="8">
        <f>SUM(G84:G86)</f>
        <v>220767.12328767125</v>
      </c>
      <c r="H87" s="8"/>
    </row>
    <row r="90" spans="1:8" ht="15" thickBot="1" x14ac:dyDescent="0.35"/>
    <row r="91" spans="1:8" ht="14.4" x14ac:dyDescent="0.3">
      <c r="G91" s="26" t="s">
        <v>26</v>
      </c>
      <c r="H91" s="27">
        <f>+H71+H77</f>
        <v>3409079.7808219176</v>
      </c>
    </row>
    <row r="92" spans="1:8" ht="14.4" x14ac:dyDescent="0.3">
      <c r="G92" s="28" t="s">
        <v>20</v>
      </c>
      <c r="H92" s="29"/>
    </row>
    <row r="93" spans="1:8" ht="14.4" x14ac:dyDescent="0.3">
      <c r="G93" s="28" t="s">
        <v>28</v>
      </c>
      <c r="H93" s="29">
        <f>+G87</f>
        <v>220767.12328767125</v>
      </c>
    </row>
    <row r="94" spans="1:8" ht="14.4" x14ac:dyDescent="0.3">
      <c r="G94" s="28" t="s">
        <v>29</v>
      </c>
      <c r="H94" s="30">
        <f>+B86</f>
        <v>1500000</v>
      </c>
    </row>
    <row r="95" spans="1:8" ht="14.4" x14ac:dyDescent="0.3">
      <c r="G95" s="31"/>
      <c r="H95" s="32"/>
    </row>
    <row r="96" spans="1:8" ht="14.4" x14ac:dyDescent="0.3">
      <c r="G96" s="28" t="s">
        <v>14</v>
      </c>
      <c r="H96" s="29">
        <f>+H91-H93-H94</f>
        <v>1688312.6575342463</v>
      </c>
    </row>
    <row r="97" spans="1:17" ht="15" thickBot="1" x14ac:dyDescent="0.35">
      <c r="G97" s="33" t="s">
        <v>30</v>
      </c>
      <c r="H97" s="32">
        <v>750000</v>
      </c>
    </row>
    <row r="98" spans="1:17" ht="15" thickBot="1" x14ac:dyDescent="0.35">
      <c r="G98" s="34" t="s">
        <v>14</v>
      </c>
      <c r="H98" s="35">
        <f>+H96-H97</f>
        <v>938312.65753424633</v>
      </c>
    </row>
    <row r="107" spans="1:17" ht="18" x14ac:dyDescent="0.35">
      <c r="A107" s="542" t="s">
        <v>23</v>
      </c>
      <c r="B107" s="542"/>
      <c r="C107" s="542"/>
      <c r="D107" s="542"/>
      <c r="E107" s="542"/>
      <c r="F107" s="542"/>
      <c r="G107" s="542"/>
      <c r="H107" s="542"/>
      <c r="J107" s="542" t="s">
        <v>227</v>
      </c>
      <c r="K107" s="542"/>
      <c r="L107" s="542"/>
      <c r="M107" s="542"/>
      <c r="N107" s="542"/>
      <c r="O107" s="542"/>
      <c r="P107" s="542"/>
      <c r="Q107" s="542"/>
    </row>
    <row r="108" spans="1:17" ht="14.4" x14ac:dyDescent="0.3">
      <c r="J108" s="6"/>
      <c r="K108" s="20"/>
    </row>
    <row r="109" spans="1:17" ht="14.4" x14ac:dyDescent="0.3">
      <c r="A109" s="12" t="s">
        <v>1</v>
      </c>
      <c r="B109" s="21" t="s">
        <v>7</v>
      </c>
      <c r="C109" s="12" t="s">
        <v>2</v>
      </c>
      <c r="D109" s="12" t="s">
        <v>3</v>
      </c>
      <c r="E109" s="12" t="s">
        <v>4</v>
      </c>
      <c r="F109" s="12" t="s">
        <v>24</v>
      </c>
      <c r="G109" s="12" t="s">
        <v>6</v>
      </c>
      <c r="H109" s="12" t="s">
        <v>25</v>
      </c>
      <c r="J109" s="12" t="s">
        <v>1</v>
      </c>
      <c r="K109" s="21" t="s">
        <v>7</v>
      </c>
      <c r="L109" s="12" t="s">
        <v>2</v>
      </c>
      <c r="M109" s="12" t="s">
        <v>3</v>
      </c>
      <c r="N109" s="12" t="s">
        <v>4</v>
      </c>
      <c r="O109" s="12" t="s">
        <v>24</v>
      </c>
      <c r="P109" s="12" t="s">
        <v>6</v>
      </c>
      <c r="Q109" s="12" t="s">
        <v>25</v>
      </c>
    </row>
    <row r="110" spans="1:17" ht="14.4" x14ac:dyDescent="0.3">
      <c r="A110" s="15"/>
      <c r="B110" s="21" t="s">
        <v>8</v>
      </c>
      <c r="C110" s="1"/>
      <c r="D110" s="1"/>
      <c r="E110" s="1"/>
      <c r="F110" s="1"/>
      <c r="G110" s="1"/>
      <c r="H110" s="1"/>
      <c r="J110" s="15"/>
      <c r="K110" s="21" t="s">
        <v>8</v>
      </c>
      <c r="L110" s="1"/>
      <c r="M110" s="1"/>
      <c r="N110" s="1"/>
      <c r="O110" s="1"/>
      <c r="P110" s="1"/>
      <c r="Q110" s="1"/>
    </row>
    <row r="111" spans="1:17" ht="14.4" x14ac:dyDescent="0.3">
      <c r="A111" s="25">
        <v>1</v>
      </c>
      <c r="B111" s="22">
        <v>1000000</v>
      </c>
      <c r="C111" s="2">
        <v>42451</v>
      </c>
      <c r="D111" s="2">
        <v>42816</v>
      </c>
      <c r="E111" s="3">
        <f>+D111-C111</f>
        <v>365</v>
      </c>
      <c r="F111" s="4">
        <v>0.18</v>
      </c>
      <c r="G111" s="5">
        <f>B111*E111*F111/365</f>
        <v>180000</v>
      </c>
      <c r="H111" s="5">
        <f>+B111+G111</f>
        <v>1180000</v>
      </c>
      <c r="J111" s="25" t="s">
        <v>228</v>
      </c>
      <c r="K111" s="22">
        <v>2000000</v>
      </c>
      <c r="L111" s="2">
        <v>44522</v>
      </c>
      <c r="M111" s="2">
        <v>44887</v>
      </c>
      <c r="N111" s="3">
        <f>+M111-L111</f>
        <v>365</v>
      </c>
      <c r="O111" s="4">
        <v>0.18</v>
      </c>
      <c r="P111" s="5">
        <f>K111*N111*O111/365</f>
        <v>360000</v>
      </c>
      <c r="Q111" s="5">
        <f>+K111+P111</f>
        <v>2360000</v>
      </c>
    </row>
    <row r="112" spans="1:17" ht="14.4" x14ac:dyDescent="0.3">
      <c r="A112" s="25"/>
      <c r="B112" s="23">
        <f>+H111</f>
        <v>1180000</v>
      </c>
      <c r="C112" s="2">
        <f>+D111</f>
        <v>42816</v>
      </c>
      <c r="D112" s="2">
        <v>43181</v>
      </c>
      <c r="E112" s="3">
        <f t="shared" ref="E112:E115" si="22">+D112-C112</f>
        <v>365</v>
      </c>
      <c r="F112" s="4">
        <v>0.18</v>
      </c>
      <c r="G112" s="5">
        <f t="shared" ref="G112:G115" si="23">B112*E112*F112/365</f>
        <v>212400</v>
      </c>
      <c r="H112" s="5">
        <f t="shared" ref="H112:H115" si="24">+B112+G112</f>
        <v>1392400</v>
      </c>
      <c r="J112" s="25"/>
      <c r="K112" s="23"/>
      <c r="L112" s="2">
        <f>+M111</f>
        <v>44887</v>
      </c>
      <c r="M112" s="2">
        <v>44888</v>
      </c>
      <c r="N112" s="3">
        <f>+M112-L112</f>
        <v>1</v>
      </c>
      <c r="O112" s="4">
        <v>0.18</v>
      </c>
      <c r="P112" s="5">
        <f>Q111*N112*O112/365</f>
        <v>1163.8356164383561</v>
      </c>
      <c r="Q112" s="5">
        <f t="shared" ref="Q112:Q113" si="25">+K112+P112</f>
        <v>1163.8356164383561</v>
      </c>
    </row>
    <row r="113" spans="1:17" ht="14.4" x14ac:dyDescent="0.3">
      <c r="A113" s="25"/>
      <c r="B113" s="23">
        <f>+H112</f>
        <v>1392400</v>
      </c>
      <c r="C113" s="2">
        <f>+D112</f>
        <v>43181</v>
      </c>
      <c r="D113" s="2">
        <v>43546</v>
      </c>
      <c r="E113" s="3">
        <f t="shared" si="22"/>
        <v>365</v>
      </c>
      <c r="F113" s="4">
        <v>0.18</v>
      </c>
      <c r="G113" s="5">
        <f t="shared" si="23"/>
        <v>250632</v>
      </c>
      <c r="H113" s="5">
        <f t="shared" si="24"/>
        <v>1643032</v>
      </c>
      <c r="J113" s="25"/>
      <c r="K113" s="23"/>
      <c r="L113" s="2"/>
      <c r="M113" s="2"/>
      <c r="N113" s="3"/>
      <c r="O113" s="4"/>
      <c r="P113" s="5">
        <f t="shared" ref="P113" si="26">K113*N113*O113/365</f>
        <v>0</v>
      </c>
      <c r="Q113" s="5">
        <f t="shared" si="25"/>
        <v>0</v>
      </c>
    </row>
    <row r="114" spans="1:17" ht="14.4" x14ac:dyDescent="0.3">
      <c r="A114" s="25"/>
      <c r="B114" s="23">
        <f>+H113</f>
        <v>1643032</v>
      </c>
      <c r="C114" s="2">
        <f>+D113</f>
        <v>43546</v>
      </c>
      <c r="D114" s="2">
        <v>43911</v>
      </c>
      <c r="E114" s="3">
        <f t="shared" si="22"/>
        <v>365</v>
      </c>
      <c r="F114" s="4">
        <v>0.18</v>
      </c>
      <c r="G114" s="5">
        <f t="shared" si="23"/>
        <v>295745.75999999995</v>
      </c>
      <c r="H114" s="5">
        <f t="shared" si="24"/>
        <v>1938777.76</v>
      </c>
    </row>
    <row r="115" spans="1:17" ht="14.4" x14ac:dyDescent="0.3">
      <c r="A115" s="25"/>
      <c r="B115" s="23">
        <f>+H114</f>
        <v>1938777.76</v>
      </c>
      <c r="C115" s="2">
        <f>+D114</f>
        <v>43911</v>
      </c>
      <c r="D115" s="2">
        <v>43921</v>
      </c>
      <c r="E115" s="3">
        <f t="shared" si="22"/>
        <v>10</v>
      </c>
      <c r="F115" s="4">
        <v>0.18</v>
      </c>
      <c r="G115" s="5">
        <f t="shared" si="23"/>
        <v>9561.0958027397264</v>
      </c>
      <c r="H115" s="8">
        <f t="shared" si="24"/>
        <v>1948338.8558027397</v>
      </c>
    </row>
    <row r="116" spans="1:17" ht="14.4" x14ac:dyDescent="0.3">
      <c r="A116" s="25"/>
      <c r="B116" s="23"/>
      <c r="C116" s="2"/>
      <c r="D116" s="2"/>
      <c r="E116" s="19">
        <f>SUM(E111:E115)</f>
        <v>1470</v>
      </c>
      <c r="F116" s="4"/>
      <c r="G116" s="8">
        <f>SUM(G111:G115)</f>
        <v>948338.85580273974</v>
      </c>
      <c r="H116" s="5"/>
    </row>
    <row r="117" spans="1:17" ht="14.4" x14ac:dyDescent="0.3">
      <c r="A117" s="25"/>
      <c r="B117" s="22"/>
      <c r="C117" s="2"/>
      <c r="D117" s="2"/>
      <c r="E117" s="3"/>
      <c r="F117" s="4"/>
      <c r="G117" s="5"/>
      <c r="H117" s="5"/>
    </row>
    <row r="118" spans="1:17" ht="14.4" x14ac:dyDescent="0.3">
      <c r="A118" s="25">
        <v>2</v>
      </c>
      <c r="B118" s="22">
        <v>1000000</v>
      </c>
      <c r="C118" s="2">
        <v>42630</v>
      </c>
      <c r="D118" s="2">
        <v>42995</v>
      </c>
      <c r="E118" s="3">
        <f t="shared" ref="E118:E121" si="27">+D118-C118</f>
        <v>365</v>
      </c>
      <c r="F118" s="4">
        <v>0.24</v>
      </c>
      <c r="G118" s="5">
        <f t="shared" ref="G118:G121" si="28">B118*E118*F118/365</f>
        <v>240000</v>
      </c>
      <c r="H118" s="5">
        <f>+B118+G118</f>
        <v>1240000</v>
      </c>
    </row>
    <row r="119" spans="1:17" ht="14.4" x14ac:dyDescent="0.3">
      <c r="A119" s="25"/>
      <c r="B119" s="23">
        <f>+H118</f>
        <v>1240000</v>
      </c>
      <c r="C119" s="2">
        <f>+D118</f>
        <v>42995</v>
      </c>
      <c r="D119" s="2">
        <v>43360</v>
      </c>
      <c r="E119" s="3">
        <f t="shared" si="27"/>
        <v>365</v>
      </c>
      <c r="F119" s="4">
        <v>0.24</v>
      </c>
      <c r="G119" s="5">
        <f t="shared" si="28"/>
        <v>297600</v>
      </c>
      <c r="H119" s="5">
        <f>+G119+B119</f>
        <v>1537600</v>
      </c>
    </row>
    <row r="120" spans="1:17" ht="14.4" x14ac:dyDescent="0.3">
      <c r="A120" s="16"/>
      <c r="B120" s="23">
        <f>+H119</f>
        <v>1537600</v>
      </c>
      <c r="C120" s="2">
        <f>+D119</f>
        <v>43360</v>
      </c>
      <c r="D120" s="2">
        <v>43725</v>
      </c>
      <c r="E120" s="3">
        <f t="shared" si="27"/>
        <v>365</v>
      </c>
      <c r="F120" s="4">
        <v>0.24</v>
      </c>
      <c r="G120" s="5">
        <f t="shared" si="28"/>
        <v>369024</v>
      </c>
      <c r="H120" s="5">
        <f>+G120+B120</f>
        <v>1906624</v>
      </c>
    </row>
    <row r="121" spans="1:17" ht="14.4" x14ac:dyDescent="0.3">
      <c r="A121" s="16"/>
      <c r="B121" s="23">
        <f>+H120</f>
        <v>1906624</v>
      </c>
      <c r="C121" s="2">
        <f>+D120</f>
        <v>43725</v>
      </c>
      <c r="D121" s="2">
        <v>43921</v>
      </c>
      <c r="E121" s="3">
        <f t="shared" si="27"/>
        <v>196</v>
      </c>
      <c r="F121" s="4">
        <v>0.24</v>
      </c>
      <c r="G121" s="5">
        <f t="shared" si="28"/>
        <v>245719.43276712327</v>
      </c>
      <c r="H121" s="8">
        <f>+G121+B121</f>
        <v>2152343.4327671234</v>
      </c>
    </row>
    <row r="122" spans="1:17" ht="14.4" x14ac:dyDescent="0.3">
      <c r="A122" s="16"/>
      <c r="B122" s="23"/>
      <c r="C122" s="2"/>
      <c r="D122" s="2"/>
      <c r="E122" s="3"/>
      <c r="F122" s="4"/>
      <c r="G122" s="5"/>
      <c r="H122" s="8"/>
    </row>
    <row r="123" spans="1:17" ht="14.4" x14ac:dyDescent="0.3">
      <c r="A123" s="16"/>
      <c r="B123" s="23"/>
      <c r="C123" s="2"/>
      <c r="D123" s="2"/>
      <c r="E123" s="19">
        <f>SUM(E118:E120)</f>
        <v>1095</v>
      </c>
      <c r="F123" s="4"/>
      <c r="G123" s="8">
        <f>SUM(G118:G122)</f>
        <v>1152343.4327671232</v>
      </c>
      <c r="H123" s="8"/>
    </row>
    <row r="124" spans="1:17" ht="14.4" x14ac:dyDescent="0.3">
      <c r="A124" s="16"/>
      <c r="B124" s="22"/>
      <c r="C124" s="2"/>
      <c r="D124" s="2"/>
      <c r="E124" s="19"/>
      <c r="F124" s="4"/>
      <c r="G124" s="5"/>
      <c r="H124" s="5"/>
    </row>
    <row r="125" spans="1:17" ht="14.4" x14ac:dyDescent="0.3">
      <c r="A125" s="539" t="s">
        <v>22</v>
      </c>
      <c r="B125" s="541"/>
      <c r="C125" s="541"/>
      <c r="D125" s="541"/>
      <c r="E125" s="541"/>
      <c r="F125" s="540"/>
      <c r="G125" s="8">
        <f>+G123+G116</f>
        <v>2100682.288569863</v>
      </c>
      <c r="H125" s="8">
        <f>+H120+H114</f>
        <v>3845401.76</v>
      </c>
    </row>
    <row r="127" spans="1:17" ht="14.4" x14ac:dyDescent="0.3">
      <c r="A127" s="12" t="s">
        <v>1</v>
      </c>
      <c r="B127" s="21" t="s">
        <v>7</v>
      </c>
      <c r="C127" s="12" t="s">
        <v>2</v>
      </c>
      <c r="D127" s="12" t="s">
        <v>3</v>
      </c>
      <c r="E127" s="12" t="s">
        <v>4</v>
      </c>
      <c r="F127" s="12" t="s">
        <v>5</v>
      </c>
      <c r="G127" s="12" t="s">
        <v>6</v>
      </c>
      <c r="H127" s="12"/>
    </row>
    <row r="128" spans="1:17" ht="14.4" x14ac:dyDescent="0.3">
      <c r="A128" s="15"/>
      <c r="B128" s="21" t="s">
        <v>9</v>
      </c>
      <c r="C128" s="1"/>
      <c r="D128" s="1"/>
      <c r="E128" s="1"/>
      <c r="F128" s="1"/>
      <c r="G128" s="1"/>
      <c r="H128" s="1"/>
    </row>
    <row r="129" spans="1:10" ht="14.4" x14ac:dyDescent="0.3">
      <c r="A129" s="49">
        <v>43265</v>
      </c>
      <c r="B129" s="50">
        <v>1000000</v>
      </c>
      <c r="C129" s="2">
        <v>43265</v>
      </c>
      <c r="D129" s="2">
        <v>43630</v>
      </c>
      <c r="E129" s="3">
        <f t="shared" ref="E129:E135" si="29">+D129-C129</f>
        <v>365</v>
      </c>
      <c r="F129" s="4">
        <v>0.18</v>
      </c>
      <c r="G129" s="5">
        <f t="shared" ref="G129:G135" si="30">B129*E129*F129/365</f>
        <v>180000</v>
      </c>
      <c r="H129" s="5"/>
    </row>
    <row r="130" spans="1:10" ht="14.4" x14ac:dyDescent="0.3">
      <c r="A130" s="17"/>
      <c r="B130" s="23">
        <f>+B129+G129</f>
        <v>1180000</v>
      </c>
      <c r="C130" s="2">
        <f>+D129</f>
        <v>43630</v>
      </c>
      <c r="D130" s="2">
        <v>43921</v>
      </c>
      <c r="E130" s="3">
        <f t="shared" si="29"/>
        <v>291</v>
      </c>
      <c r="F130" s="4">
        <v>0.18</v>
      </c>
      <c r="G130" s="5">
        <f t="shared" si="30"/>
        <v>169338.08219178082</v>
      </c>
      <c r="H130" s="5"/>
    </row>
    <row r="131" spans="1:10" ht="14.4" x14ac:dyDescent="0.3">
      <c r="A131" s="17"/>
      <c r="B131" s="23"/>
      <c r="C131" s="2"/>
      <c r="D131" s="2"/>
      <c r="E131" s="3"/>
      <c r="F131" s="4"/>
      <c r="G131" s="5"/>
      <c r="H131" s="5"/>
    </row>
    <row r="132" spans="1:10" ht="14.4" x14ac:dyDescent="0.3">
      <c r="A132" s="49">
        <v>43271</v>
      </c>
      <c r="B132" s="50">
        <v>500000</v>
      </c>
      <c r="C132" s="2">
        <v>43271</v>
      </c>
      <c r="D132" s="2">
        <v>43636</v>
      </c>
      <c r="E132" s="3">
        <f t="shared" si="29"/>
        <v>365</v>
      </c>
      <c r="F132" s="4">
        <v>0.18</v>
      </c>
      <c r="G132" s="5">
        <f t="shared" si="30"/>
        <v>90000</v>
      </c>
      <c r="H132" s="5"/>
    </row>
    <row r="133" spans="1:10" ht="14.4" x14ac:dyDescent="0.3">
      <c r="A133" s="17"/>
      <c r="B133" s="23">
        <f>+B132+G132</f>
        <v>590000</v>
      </c>
      <c r="C133" s="2">
        <f>+D132</f>
        <v>43636</v>
      </c>
      <c r="D133" s="2">
        <v>43707</v>
      </c>
      <c r="E133" s="3">
        <f t="shared" si="29"/>
        <v>71</v>
      </c>
      <c r="F133" s="4">
        <v>0.18</v>
      </c>
      <c r="G133" s="5">
        <f t="shared" si="30"/>
        <v>20658.082191780821</v>
      </c>
      <c r="H133" s="5"/>
    </row>
    <row r="134" spans="1:10" ht="14.4" x14ac:dyDescent="0.3">
      <c r="A134" s="17"/>
      <c r="B134" s="23"/>
      <c r="C134" s="2"/>
      <c r="D134" s="2"/>
      <c r="E134" s="3"/>
      <c r="F134" s="4"/>
      <c r="G134" s="5"/>
      <c r="H134" s="5"/>
    </row>
    <row r="135" spans="1:10" ht="14.4" x14ac:dyDescent="0.3">
      <c r="A135" s="49">
        <v>43536</v>
      </c>
      <c r="B135" s="51">
        <v>750000</v>
      </c>
      <c r="C135" s="2">
        <v>43536</v>
      </c>
      <c r="D135" s="2">
        <v>43707</v>
      </c>
      <c r="E135" s="3">
        <f t="shared" si="29"/>
        <v>171</v>
      </c>
      <c r="F135" s="4">
        <v>0.18</v>
      </c>
      <c r="G135" s="5">
        <f t="shared" si="30"/>
        <v>63246.575342465752</v>
      </c>
      <c r="H135" s="5"/>
    </row>
    <row r="136" spans="1:10" ht="14.4" x14ac:dyDescent="0.3">
      <c r="A136" s="49"/>
      <c r="B136" s="51"/>
      <c r="C136" s="2"/>
      <c r="D136" s="2"/>
      <c r="E136" s="3"/>
      <c r="F136" s="4"/>
      <c r="G136" s="5"/>
      <c r="H136" s="5"/>
    </row>
    <row r="137" spans="1:10" ht="14.4" x14ac:dyDescent="0.3">
      <c r="A137" s="49"/>
      <c r="B137" s="51"/>
      <c r="C137" s="2"/>
      <c r="D137" s="2"/>
      <c r="E137" s="3"/>
      <c r="F137" s="4"/>
      <c r="G137" s="5"/>
      <c r="H137" s="5"/>
    </row>
    <row r="138" spans="1:10" ht="14.4" x14ac:dyDescent="0.3">
      <c r="A138" s="15"/>
      <c r="B138" s="44">
        <f>+B129+B132+B135+B136</f>
        <v>2250000</v>
      </c>
      <c r="C138" s="2"/>
      <c r="D138" s="2"/>
      <c r="E138" s="1"/>
      <c r="F138" s="1"/>
      <c r="G138" s="1"/>
      <c r="H138" s="1"/>
    </row>
    <row r="139" spans="1:10" ht="14.4" x14ac:dyDescent="0.3">
      <c r="A139" s="539" t="s">
        <v>11</v>
      </c>
      <c r="B139" s="541"/>
      <c r="C139" s="541"/>
      <c r="D139" s="541"/>
      <c r="E139" s="541"/>
      <c r="F139" s="540"/>
      <c r="G139" s="8">
        <f>SUM(G129:G138)</f>
        <v>523242.73972602736</v>
      </c>
      <c r="H139" s="8">
        <f>+G139+B138</f>
        <v>2773242.7397260275</v>
      </c>
    </row>
    <row r="140" spans="1:10" ht="14.4" x14ac:dyDescent="0.3">
      <c r="A140" s="543"/>
      <c r="B140" s="543"/>
      <c r="C140" s="543"/>
      <c r="D140" s="543"/>
      <c r="E140" s="543"/>
      <c r="F140" s="543"/>
      <c r="G140" s="8"/>
      <c r="H140" s="8"/>
    </row>
    <row r="141" spans="1:10" ht="15" thickBot="1" x14ac:dyDescent="0.35">
      <c r="A141" s="10"/>
      <c r="B141" s="24" t="s">
        <v>15</v>
      </c>
      <c r="C141" s="10"/>
      <c r="D141" s="10"/>
      <c r="E141" s="10"/>
      <c r="F141" s="10"/>
      <c r="G141" s="11"/>
      <c r="H141" s="11"/>
      <c r="J141">
        <v>902719</v>
      </c>
    </row>
    <row r="142" spans="1:10" ht="14.4" x14ac:dyDescent="0.3">
      <c r="A142" s="12"/>
      <c r="B142" s="21"/>
      <c r="C142" s="12" t="s">
        <v>21</v>
      </c>
      <c r="D142" s="12" t="s">
        <v>8</v>
      </c>
      <c r="E142" s="10"/>
      <c r="F142" s="10"/>
      <c r="G142" s="26" t="s">
        <v>26</v>
      </c>
      <c r="H142" s="27">
        <f>+H114+H120</f>
        <v>3845401.76</v>
      </c>
      <c r="J142" s="14">
        <f>+J141-H147</f>
        <v>-169440.0202739723</v>
      </c>
    </row>
    <row r="143" spans="1:10" ht="14.4" x14ac:dyDescent="0.3">
      <c r="A143" s="12" t="s">
        <v>16</v>
      </c>
      <c r="B143" s="13" t="s">
        <v>12</v>
      </c>
      <c r="C143" s="13"/>
      <c r="D143" s="12">
        <v>1000000</v>
      </c>
      <c r="E143" s="10"/>
      <c r="F143" s="10"/>
      <c r="G143" s="28" t="s">
        <v>20</v>
      </c>
      <c r="H143" s="29"/>
    </row>
    <row r="144" spans="1:10" ht="14.4" x14ac:dyDescent="0.3">
      <c r="A144" s="12" t="s">
        <v>17</v>
      </c>
      <c r="B144" s="13" t="s">
        <v>12</v>
      </c>
      <c r="C144" s="13"/>
      <c r="D144" s="12">
        <v>1000000</v>
      </c>
      <c r="E144" s="10"/>
      <c r="F144" s="10"/>
      <c r="G144" s="28" t="s">
        <v>28</v>
      </c>
      <c r="H144" s="29">
        <f>+G139</f>
        <v>523242.73972602736</v>
      </c>
    </row>
    <row r="145" spans="1:8" ht="14.4" x14ac:dyDescent="0.3">
      <c r="A145" s="12" t="s">
        <v>20</v>
      </c>
      <c r="B145" s="539"/>
      <c r="C145" s="540"/>
      <c r="D145" s="12"/>
      <c r="G145" s="28" t="s">
        <v>21</v>
      </c>
      <c r="H145" s="29">
        <f>+B138</f>
        <v>2250000</v>
      </c>
    </row>
    <row r="146" spans="1:8" ht="15" thickBot="1" x14ac:dyDescent="0.35">
      <c r="A146" s="12" t="s">
        <v>18</v>
      </c>
      <c r="B146" s="21" t="s">
        <v>21</v>
      </c>
      <c r="C146" s="12">
        <v>1000000</v>
      </c>
      <c r="D146" s="12"/>
      <c r="G146" s="31"/>
      <c r="H146" s="52"/>
    </row>
    <row r="147" spans="1:8" ht="15" thickBot="1" x14ac:dyDescent="0.35">
      <c r="A147" s="12" t="s">
        <v>19</v>
      </c>
      <c r="B147" s="21" t="s">
        <v>21</v>
      </c>
      <c r="C147" s="12">
        <v>500000</v>
      </c>
      <c r="D147" s="12"/>
      <c r="G147" s="34" t="s">
        <v>14</v>
      </c>
      <c r="H147" s="53">
        <f>+H142-H144-H145</f>
        <v>1072159.0202739723</v>
      </c>
    </row>
    <row r="148" spans="1:8" ht="14.4" x14ac:dyDescent="0.3">
      <c r="A148" s="12" t="s">
        <v>36</v>
      </c>
      <c r="B148" s="21" t="s">
        <v>21</v>
      </c>
      <c r="C148" s="12">
        <v>750000</v>
      </c>
      <c r="D148" s="12"/>
    </row>
    <row r="149" spans="1:8" ht="14.4" x14ac:dyDescent="0.3">
      <c r="A149" s="12" t="s">
        <v>37</v>
      </c>
      <c r="B149" s="21" t="s">
        <v>21</v>
      </c>
      <c r="C149" s="12">
        <v>250000</v>
      </c>
      <c r="D149" s="12"/>
    </row>
    <row r="150" spans="1:8" ht="14.4" x14ac:dyDescent="0.3">
      <c r="A150" s="12"/>
      <c r="B150" s="21" t="s">
        <v>22</v>
      </c>
      <c r="C150" s="12">
        <f>+SUM(C146:C149)</f>
        <v>2500000</v>
      </c>
      <c r="D150" s="12">
        <f>+SUM(D143:D148)</f>
        <v>2000000</v>
      </c>
      <c r="H150" s="14"/>
    </row>
    <row r="155" spans="1:8" ht="14.4" x14ac:dyDescent="0.3">
      <c r="A155" s="614">
        <v>43925</v>
      </c>
      <c r="B155" s="614"/>
      <c r="C155" s="614"/>
      <c r="D155" s="614"/>
      <c r="E155" s="614"/>
      <c r="F155" s="614"/>
      <c r="G155" s="614"/>
      <c r="H155" s="614"/>
    </row>
    <row r="156" spans="1:8" ht="18" x14ac:dyDescent="0.35">
      <c r="A156" s="542" t="s">
        <v>23</v>
      </c>
      <c r="B156" s="542"/>
      <c r="C156" s="542"/>
      <c r="D156" s="542"/>
      <c r="E156" s="542"/>
      <c r="F156" s="542"/>
      <c r="G156" s="542"/>
      <c r="H156" s="542"/>
    </row>
    <row r="158" spans="1:8" ht="14.4" x14ac:dyDescent="0.3">
      <c r="A158" s="12" t="s">
        <v>1</v>
      </c>
      <c r="B158" s="21" t="s">
        <v>7</v>
      </c>
      <c r="C158" s="12" t="s">
        <v>2</v>
      </c>
      <c r="D158" s="12" t="s">
        <v>3</v>
      </c>
      <c r="E158" s="12" t="s">
        <v>4</v>
      </c>
      <c r="F158" s="12" t="s">
        <v>24</v>
      </c>
      <c r="G158" s="12" t="s">
        <v>6</v>
      </c>
      <c r="H158" s="12" t="s">
        <v>25</v>
      </c>
    </row>
    <row r="159" spans="1:8" ht="14.4" x14ac:dyDescent="0.3">
      <c r="A159" s="15"/>
      <c r="B159" s="21" t="s">
        <v>8</v>
      </c>
      <c r="C159" s="1"/>
      <c r="D159" s="1"/>
      <c r="E159" s="1"/>
      <c r="F159" s="1"/>
      <c r="G159" s="1"/>
      <c r="H159" s="1"/>
    </row>
    <row r="160" spans="1:8" ht="14.4" x14ac:dyDescent="0.3">
      <c r="A160" s="25">
        <v>1</v>
      </c>
      <c r="B160" s="22">
        <v>1000000</v>
      </c>
      <c r="C160" s="2">
        <v>42451</v>
      </c>
      <c r="D160" s="2">
        <v>42816</v>
      </c>
      <c r="E160" s="3">
        <f>+D160-C160</f>
        <v>365</v>
      </c>
      <c r="F160" s="4">
        <v>0.18</v>
      </c>
      <c r="G160" s="5">
        <f>B160*E160*F160/365</f>
        <v>180000</v>
      </c>
      <c r="H160" s="5">
        <f>+B160+G160</f>
        <v>1180000</v>
      </c>
    </row>
    <row r="161" spans="1:11" ht="14.4" x14ac:dyDescent="0.3">
      <c r="A161" s="25"/>
      <c r="B161" s="23">
        <f>+H160</f>
        <v>1180000</v>
      </c>
      <c r="C161" s="2">
        <f>+D160</f>
        <v>42816</v>
      </c>
      <c r="D161" s="2">
        <v>43181</v>
      </c>
      <c r="E161" s="3">
        <f t="shared" ref="E161:E164" si="31">+D161-C161</f>
        <v>365</v>
      </c>
      <c r="F161" s="4">
        <v>0.18</v>
      </c>
      <c r="G161" s="5">
        <f t="shared" ref="G161:G164" si="32">B161*E161*F161/365</f>
        <v>212400</v>
      </c>
      <c r="H161" s="5">
        <f t="shared" ref="H161:H164" si="33">+B161+G161</f>
        <v>1392400</v>
      </c>
    </row>
    <row r="162" spans="1:11" ht="14.4" x14ac:dyDescent="0.3">
      <c r="A162" s="25"/>
      <c r="B162" s="23">
        <f>+H161</f>
        <v>1392400</v>
      </c>
      <c r="C162" s="2">
        <f>+D161</f>
        <v>43181</v>
      </c>
      <c r="D162" s="2">
        <v>43546</v>
      </c>
      <c r="E162" s="3">
        <f t="shared" si="31"/>
        <v>365</v>
      </c>
      <c r="F162" s="4">
        <v>0.18</v>
      </c>
      <c r="G162" s="5">
        <f t="shared" si="32"/>
        <v>250632</v>
      </c>
      <c r="H162" s="5">
        <f t="shared" si="33"/>
        <v>1643032</v>
      </c>
    </row>
    <row r="163" spans="1:11" ht="14.4" x14ac:dyDescent="0.3">
      <c r="A163" s="25"/>
      <c r="B163" s="23">
        <f>+H162</f>
        <v>1643032</v>
      </c>
      <c r="C163" s="2">
        <f>+D162</f>
        <v>43546</v>
      </c>
      <c r="D163" s="2">
        <v>43911</v>
      </c>
      <c r="E163" s="3">
        <f t="shared" si="31"/>
        <v>365</v>
      </c>
      <c r="F163" s="4">
        <v>0.18</v>
      </c>
      <c r="G163" s="5">
        <f t="shared" si="32"/>
        <v>295745.75999999995</v>
      </c>
      <c r="H163" s="5">
        <f t="shared" si="33"/>
        <v>1938777.76</v>
      </c>
      <c r="I163">
        <v>130452</v>
      </c>
      <c r="J163" s="14">
        <f>G163-I163+G164</f>
        <v>174854.85580273968</v>
      </c>
    </row>
    <row r="164" spans="1:11" ht="14.4" x14ac:dyDescent="0.3">
      <c r="A164" s="25"/>
      <c r="B164" s="23">
        <f>+H163</f>
        <v>1938777.76</v>
      </c>
      <c r="C164" s="2">
        <f>+D163</f>
        <v>43911</v>
      </c>
      <c r="D164" s="2">
        <v>43921</v>
      </c>
      <c r="E164" s="3">
        <f t="shared" si="31"/>
        <v>10</v>
      </c>
      <c r="F164" s="4">
        <v>0.18</v>
      </c>
      <c r="G164" s="5">
        <f t="shared" si="32"/>
        <v>9561.0958027397264</v>
      </c>
      <c r="H164" s="8">
        <f t="shared" si="33"/>
        <v>1948338.8558027397</v>
      </c>
    </row>
    <row r="165" spans="1:11" ht="14.4" x14ac:dyDescent="0.3">
      <c r="A165" s="25"/>
      <c r="B165" s="23"/>
      <c r="C165" s="2"/>
      <c r="D165" s="2"/>
      <c r="E165" s="19">
        <f>SUM(E160:E164)</f>
        <v>1470</v>
      </c>
      <c r="F165" s="4"/>
      <c r="G165" s="8">
        <f>SUM(G160:G164)</f>
        <v>948338.85580273974</v>
      </c>
      <c r="H165" s="5"/>
    </row>
    <row r="166" spans="1:11" ht="14.4" x14ac:dyDescent="0.3">
      <c r="A166" s="25"/>
      <c r="B166" s="22"/>
      <c r="C166" s="2"/>
      <c r="D166" s="2"/>
      <c r="E166" s="3"/>
      <c r="F166" s="4"/>
      <c r="G166" s="5"/>
      <c r="H166" s="5"/>
    </row>
    <row r="167" spans="1:11" ht="14.4" x14ac:dyDescent="0.3">
      <c r="A167" s="25">
        <v>2</v>
      </c>
      <c r="B167" s="22">
        <v>1000000</v>
      </c>
      <c r="C167" s="2">
        <v>42630</v>
      </c>
      <c r="D167" s="2">
        <v>42995</v>
      </c>
      <c r="E167" s="3">
        <f t="shared" ref="E167:E170" si="34">+D167-C167</f>
        <v>365</v>
      </c>
      <c r="F167" s="4">
        <v>0.24</v>
      </c>
      <c r="G167" s="5">
        <f t="shared" ref="G167:G170" si="35">B167*E167*F167/365</f>
        <v>240000</v>
      </c>
      <c r="H167" s="5">
        <f>+B167+G167</f>
        <v>1240000</v>
      </c>
    </row>
    <row r="168" spans="1:11" ht="14.4" x14ac:dyDescent="0.3">
      <c r="A168" s="25"/>
      <c r="B168" s="23">
        <f>+H167</f>
        <v>1240000</v>
      </c>
      <c r="C168" s="2">
        <f>+D167</f>
        <v>42995</v>
      </c>
      <c r="D168" s="2">
        <v>43360</v>
      </c>
      <c r="E168" s="3">
        <f t="shared" si="34"/>
        <v>365</v>
      </c>
      <c r="F168" s="4">
        <v>0.24</v>
      </c>
      <c r="G168" s="5">
        <f t="shared" si="35"/>
        <v>297600</v>
      </c>
      <c r="H168" s="5">
        <f>+G168+B168</f>
        <v>1537600</v>
      </c>
    </row>
    <row r="169" spans="1:11" ht="14.4" x14ac:dyDescent="0.3">
      <c r="A169" s="16"/>
      <c r="B169" s="23">
        <f>+H168</f>
        <v>1537600</v>
      </c>
      <c r="C169" s="2">
        <f>+D168</f>
        <v>43360</v>
      </c>
      <c r="D169" s="2">
        <v>43725</v>
      </c>
      <c r="E169" s="3">
        <f t="shared" si="34"/>
        <v>365</v>
      </c>
      <c r="F169" s="4">
        <v>0.24</v>
      </c>
      <c r="G169" s="5">
        <f t="shared" si="35"/>
        <v>369024</v>
      </c>
      <c r="H169" s="5">
        <f>+G169+B169</f>
        <v>1906624</v>
      </c>
    </row>
    <row r="170" spans="1:11" ht="14.4" x14ac:dyDescent="0.3">
      <c r="A170" s="16"/>
      <c r="B170" s="23">
        <f>+H169</f>
        <v>1906624</v>
      </c>
      <c r="C170" s="2">
        <f>+D169</f>
        <v>43725</v>
      </c>
      <c r="D170" s="2">
        <v>43921</v>
      </c>
      <c r="E170" s="3">
        <f t="shared" si="34"/>
        <v>196</v>
      </c>
      <c r="F170" s="4">
        <v>0.24</v>
      </c>
      <c r="G170" s="5">
        <f t="shared" si="35"/>
        <v>245719.43276712327</v>
      </c>
      <c r="H170" s="8">
        <f>+G170+B170</f>
        <v>2152343.4327671234</v>
      </c>
    </row>
    <row r="171" spans="1:11" ht="14.4" x14ac:dyDescent="0.3">
      <c r="A171" s="16"/>
      <c r="B171" s="23"/>
      <c r="C171" s="2"/>
      <c r="D171" s="2"/>
      <c r="E171" s="3"/>
      <c r="F171" s="4"/>
      <c r="G171" s="5"/>
      <c r="H171" s="8"/>
    </row>
    <row r="172" spans="1:11" ht="14.4" x14ac:dyDescent="0.3">
      <c r="A172" s="16"/>
      <c r="B172" s="23"/>
      <c r="C172" s="2"/>
      <c r="D172" s="2"/>
      <c r="E172" s="19">
        <f>SUM(E167:E169)</f>
        <v>1095</v>
      </c>
      <c r="F172" s="4"/>
      <c r="G172" s="8">
        <f>SUM(G167:G171)</f>
        <v>1152343.4327671232</v>
      </c>
      <c r="H172" s="8"/>
      <c r="K172">
        <v>1661910</v>
      </c>
    </row>
    <row r="173" spans="1:11" ht="14.4" x14ac:dyDescent="0.3">
      <c r="A173" s="16"/>
      <c r="B173" s="22"/>
      <c r="C173" s="2"/>
      <c r="D173" s="2"/>
      <c r="E173" s="19"/>
      <c r="F173" s="4"/>
      <c r="G173" s="5"/>
      <c r="H173" s="5"/>
      <c r="K173">
        <v>414740</v>
      </c>
    </row>
    <row r="174" spans="1:11" ht="14.4" x14ac:dyDescent="0.3">
      <c r="A174" s="539" t="s">
        <v>22</v>
      </c>
      <c r="B174" s="541"/>
      <c r="C174" s="541"/>
      <c r="D174" s="541"/>
      <c r="E174" s="541"/>
      <c r="F174" s="540"/>
      <c r="G174" s="8">
        <f>+G172+G165</f>
        <v>2100682.288569863</v>
      </c>
      <c r="H174" s="8">
        <f>+H164+H170</f>
        <v>4100682.288569863</v>
      </c>
      <c r="K174">
        <f>K172-K173</f>
        <v>1247170</v>
      </c>
    </row>
    <row r="176" spans="1:11" ht="14.4" x14ac:dyDescent="0.3">
      <c r="A176" s="12" t="s">
        <v>1</v>
      </c>
      <c r="B176" s="21" t="s">
        <v>7</v>
      </c>
      <c r="C176" s="12" t="s">
        <v>2</v>
      </c>
      <c r="D176" s="12" t="s">
        <v>3</v>
      </c>
      <c r="E176" s="12" t="s">
        <v>4</v>
      </c>
      <c r="F176" s="12" t="s">
        <v>5</v>
      </c>
      <c r="G176" s="12" t="s">
        <v>6</v>
      </c>
      <c r="H176" s="12"/>
    </row>
    <row r="177" spans="1:11" ht="14.4" x14ac:dyDescent="0.3">
      <c r="A177" s="15"/>
      <c r="B177" s="21" t="s">
        <v>9</v>
      </c>
      <c r="C177" s="1"/>
      <c r="D177" s="1"/>
      <c r="E177" s="1"/>
      <c r="F177" s="1"/>
      <c r="G177" s="1"/>
      <c r="H177" s="1"/>
    </row>
    <row r="178" spans="1:11" ht="14.4" x14ac:dyDescent="0.3">
      <c r="A178" s="49">
        <v>43265</v>
      </c>
      <c r="B178" s="50">
        <v>1000000</v>
      </c>
      <c r="C178" s="2">
        <v>43265</v>
      </c>
      <c r="D178" s="2">
        <v>43630</v>
      </c>
      <c r="E178" s="3">
        <f t="shared" ref="E178:E179" si="36">+D178-C178</f>
        <v>365</v>
      </c>
      <c r="F178" s="4">
        <v>0.18</v>
      </c>
      <c r="G178" s="5">
        <f t="shared" ref="G178:G179" si="37">B178*E178*F178/365</f>
        <v>180000</v>
      </c>
      <c r="H178" s="5"/>
    </row>
    <row r="179" spans="1:11" ht="14.4" x14ac:dyDescent="0.3">
      <c r="A179" s="17"/>
      <c r="B179" s="23">
        <f>+B178+G178</f>
        <v>1180000</v>
      </c>
      <c r="C179" s="2">
        <f>+D178</f>
        <v>43630</v>
      </c>
      <c r="D179" s="2">
        <v>43921</v>
      </c>
      <c r="E179" s="3">
        <f t="shared" si="36"/>
        <v>291</v>
      </c>
      <c r="F179" s="4">
        <v>0.18</v>
      </c>
      <c r="G179" s="5">
        <f t="shared" si="37"/>
        <v>169338.08219178082</v>
      </c>
      <c r="H179" s="5"/>
      <c r="I179">
        <v>44808</v>
      </c>
    </row>
    <row r="180" spans="1:11" ht="14.4" x14ac:dyDescent="0.3">
      <c r="A180" s="17"/>
      <c r="B180" s="23"/>
      <c r="C180" s="2"/>
      <c r="D180" s="2"/>
      <c r="E180" s="3"/>
      <c r="F180" s="4"/>
      <c r="G180" s="5"/>
      <c r="H180" s="5"/>
    </row>
    <row r="181" spans="1:11" ht="14.4" x14ac:dyDescent="0.3">
      <c r="A181" s="49">
        <v>43271</v>
      </c>
      <c r="B181" s="50">
        <v>500000</v>
      </c>
      <c r="C181" s="2">
        <v>43271</v>
      </c>
      <c r="D181" s="2">
        <v>43636</v>
      </c>
      <c r="E181" s="3">
        <f t="shared" ref="E181:E182" si="38">+D181-C181</f>
        <v>365</v>
      </c>
      <c r="F181" s="4">
        <v>0.18</v>
      </c>
      <c r="G181" s="5">
        <f t="shared" ref="G181:G182" si="39">B181*E181*F181/365</f>
        <v>90000</v>
      </c>
      <c r="H181" s="5"/>
    </row>
    <row r="182" spans="1:11" ht="14.4" x14ac:dyDescent="0.3">
      <c r="A182" s="17"/>
      <c r="B182" s="23">
        <f>+B181+G181</f>
        <v>590000</v>
      </c>
      <c r="C182" s="2">
        <f>+D181</f>
        <v>43636</v>
      </c>
      <c r="D182" s="2">
        <v>43921</v>
      </c>
      <c r="E182" s="3">
        <f t="shared" si="38"/>
        <v>285</v>
      </c>
      <c r="F182" s="4">
        <v>0.18</v>
      </c>
      <c r="G182" s="5">
        <f t="shared" si="39"/>
        <v>82923.287671232873</v>
      </c>
      <c r="H182" s="5"/>
      <c r="I182">
        <v>20658</v>
      </c>
    </row>
    <row r="183" spans="1:11" ht="14.4" x14ac:dyDescent="0.3">
      <c r="A183" s="17"/>
      <c r="B183" s="23"/>
      <c r="C183" s="2"/>
      <c r="D183" s="2"/>
      <c r="E183" s="3"/>
      <c r="F183" s="4"/>
      <c r="G183" s="5"/>
      <c r="H183" s="5"/>
    </row>
    <row r="184" spans="1:11" ht="14.4" x14ac:dyDescent="0.3">
      <c r="A184" s="49">
        <v>43536</v>
      </c>
      <c r="B184" s="51">
        <v>750000</v>
      </c>
      <c r="C184" s="2">
        <v>43536</v>
      </c>
      <c r="D184" s="2">
        <v>43707</v>
      </c>
      <c r="E184" s="3">
        <f t="shared" ref="E184:E185" si="40">+D184-C184</f>
        <v>171</v>
      </c>
      <c r="F184" s="4">
        <v>0.18</v>
      </c>
      <c r="G184" s="5">
        <f t="shared" ref="G184:G185" si="41">B184*E184*F184/365</f>
        <v>63246.575342465752</v>
      </c>
      <c r="H184" s="5"/>
    </row>
    <row r="185" spans="1:11" ht="14.4" x14ac:dyDescent="0.3">
      <c r="A185" s="49">
        <v>43577</v>
      </c>
      <c r="B185" s="51">
        <v>250000</v>
      </c>
      <c r="C185" s="2">
        <v>43577</v>
      </c>
      <c r="D185" s="2">
        <v>43921</v>
      </c>
      <c r="E185" s="3">
        <f t="shared" si="40"/>
        <v>344</v>
      </c>
      <c r="F185" s="4">
        <v>0.18</v>
      </c>
      <c r="G185" s="5">
        <f t="shared" si="41"/>
        <v>42410.95890410959</v>
      </c>
      <c r="H185" s="5"/>
      <c r="I185">
        <v>16657</v>
      </c>
    </row>
    <row r="186" spans="1:11" ht="14.4" x14ac:dyDescent="0.3">
      <c r="A186" s="49"/>
      <c r="B186" s="51"/>
      <c r="C186" s="2"/>
      <c r="D186" s="2"/>
      <c r="E186" s="3"/>
      <c r="F186" s="4"/>
      <c r="G186" s="5"/>
      <c r="H186" s="5"/>
    </row>
    <row r="187" spans="1:11" ht="14.4" x14ac:dyDescent="0.3">
      <c r="A187" s="15"/>
      <c r="B187" s="44">
        <f>+B178+B181+B184+B185</f>
        <v>2500000</v>
      </c>
      <c r="C187" s="2"/>
      <c r="D187" s="2"/>
      <c r="E187" s="1"/>
      <c r="F187" s="1"/>
      <c r="G187" s="1"/>
      <c r="H187" s="1"/>
    </row>
    <row r="188" spans="1:11" ht="14.4" x14ac:dyDescent="0.3">
      <c r="A188" s="539" t="s">
        <v>11</v>
      </c>
      <c r="B188" s="541"/>
      <c r="C188" s="541"/>
      <c r="D188" s="541"/>
      <c r="E188" s="541"/>
      <c r="F188" s="540"/>
      <c r="G188" s="8">
        <f>SUM(G178:G187)</f>
        <v>627918.90410958894</v>
      </c>
      <c r="H188" s="8">
        <f>+G188+B187</f>
        <v>3127918.9041095888</v>
      </c>
      <c r="K188" s="14">
        <f>+G174-G188</f>
        <v>1472763.3844602741</v>
      </c>
    </row>
    <row r="189" spans="1:11" ht="14.4" x14ac:dyDescent="0.3">
      <c r="A189" s="543"/>
      <c r="B189" s="543"/>
      <c r="C189" s="543"/>
      <c r="D189" s="543"/>
      <c r="E189" s="543"/>
      <c r="F189" s="543"/>
      <c r="G189" s="8"/>
      <c r="H189" s="8"/>
    </row>
    <row r="190" spans="1:11" ht="15" thickBot="1" x14ac:dyDescent="0.35">
      <c r="A190" s="10"/>
      <c r="B190" s="24" t="s">
        <v>15</v>
      </c>
      <c r="C190" s="10"/>
      <c r="D190" s="10"/>
      <c r="E190" s="10"/>
      <c r="F190" s="10"/>
      <c r="G190" s="11"/>
      <c r="H190" s="11"/>
      <c r="K190" s="14">
        <f>K188-500000</f>
        <v>972763.38446027413</v>
      </c>
    </row>
    <row r="191" spans="1:11" ht="14.4" x14ac:dyDescent="0.3">
      <c r="A191" s="12"/>
      <c r="B191" s="21"/>
      <c r="C191" s="12" t="s">
        <v>8</v>
      </c>
      <c r="D191" s="12" t="s">
        <v>21</v>
      </c>
      <c r="E191" s="10"/>
      <c r="F191" s="10"/>
      <c r="G191" s="26" t="s">
        <v>26</v>
      </c>
      <c r="H191" s="27">
        <f>+H174</f>
        <v>4100682.288569863</v>
      </c>
    </row>
    <row r="192" spans="1:11" ht="14.4" x14ac:dyDescent="0.3">
      <c r="A192" s="12" t="s">
        <v>16</v>
      </c>
      <c r="B192" s="13" t="s">
        <v>12</v>
      </c>
      <c r="C192" s="12">
        <v>1000000</v>
      </c>
      <c r="D192" s="13"/>
      <c r="E192" s="10"/>
      <c r="F192" s="10"/>
      <c r="G192" s="28" t="s">
        <v>20</v>
      </c>
      <c r="H192" s="29"/>
    </row>
    <row r="193" spans="1:11" ht="14.4" x14ac:dyDescent="0.3">
      <c r="A193" s="12" t="s">
        <v>17</v>
      </c>
      <c r="B193" s="13" t="s">
        <v>12</v>
      </c>
      <c r="C193" s="12">
        <v>1000000</v>
      </c>
      <c r="D193" s="13"/>
      <c r="E193" s="10"/>
      <c r="F193" s="10"/>
      <c r="G193" s="28" t="s">
        <v>28</v>
      </c>
      <c r="H193" s="29">
        <f>+G188</f>
        <v>627918.90410958894</v>
      </c>
      <c r="J193" s="46">
        <v>43707</v>
      </c>
    </row>
    <row r="194" spans="1:11" ht="14.4" x14ac:dyDescent="0.3">
      <c r="A194" s="12" t="s">
        <v>20</v>
      </c>
      <c r="B194" s="60"/>
      <c r="C194" s="12"/>
      <c r="D194" s="61"/>
      <c r="G194" s="28" t="s">
        <v>21</v>
      </c>
      <c r="H194" s="29">
        <f>+B187</f>
        <v>2500000</v>
      </c>
      <c r="J194" s="46">
        <v>43921</v>
      </c>
    </row>
    <row r="195" spans="1:11" ht="15" thickBot="1" x14ac:dyDescent="0.35">
      <c r="A195" s="12" t="s">
        <v>18</v>
      </c>
      <c r="B195" s="21" t="s">
        <v>21</v>
      </c>
      <c r="C195" s="12"/>
      <c r="D195" s="12">
        <v>1000000</v>
      </c>
      <c r="G195" s="31"/>
      <c r="H195" s="52"/>
      <c r="J195">
        <v>747170</v>
      </c>
    </row>
    <row r="196" spans="1:11" ht="15" thickBot="1" x14ac:dyDescent="0.35">
      <c r="A196" s="12" t="s">
        <v>19</v>
      </c>
      <c r="B196" s="21" t="s">
        <v>21</v>
      </c>
      <c r="C196" s="12"/>
      <c r="D196" s="12">
        <v>500000</v>
      </c>
      <c r="G196" s="34" t="s">
        <v>14</v>
      </c>
      <c r="H196" s="53">
        <f>+H191-H193-H194</f>
        <v>972763.38446027413</v>
      </c>
      <c r="J196">
        <f>J194-J193</f>
        <v>214</v>
      </c>
    </row>
    <row r="197" spans="1:11" ht="14.4" x14ac:dyDescent="0.3">
      <c r="A197" s="12" t="s">
        <v>36</v>
      </c>
      <c r="B197" s="21" t="s">
        <v>21</v>
      </c>
      <c r="C197" s="12"/>
      <c r="D197" s="12">
        <v>750000</v>
      </c>
      <c r="J197">
        <f>J195*0.24*J196/365</f>
        <v>105136.03068493149</v>
      </c>
    </row>
    <row r="198" spans="1:11" ht="14.4" x14ac:dyDescent="0.3">
      <c r="A198" s="12" t="s">
        <v>37</v>
      </c>
      <c r="B198" s="21" t="s">
        <v>21</v>
      </c>
      <c r="C198" s="12"/>
      <c r="D198" s="12">
        <v>250000</v>
      </c>
    </row>
    <row r="199" spans="1:11" ht="14.4" x14ac:dyDescent="0.3">
      <c r="A199" s="12"/>
      <c r="B199" s="21" t="s">
        <v>22</v>
      </c>
      <c r="C199" s="12">
        <f>+SUM(C192:C197)</f>
        <v>2000000</v>
      </c>
      <c r="D199" s="12">
        <f>+SUM(D195:D198)</f>
        <v>2500000</v>
      </c>
      <c r="H199" s="14"/>
      <c r="K199">
        <f>+J195+J197</f>
        <v>852306.03068493144</v>
      </c>
    </row>
    <row r="202" spans="1:11" ht="14.4" x14ac:dyDescent="0.3">
      <c r="A202" s="566" t="s">
        <v>23</v>
      </c>
      <c r="B202" s="566"/>
      <c r="C202" s="566"/>
    </row>
    <row r="203" spans="1:11" ht="14.4" x14ac:dyDescent="0.3">
      <c r="A203" s="566" t="s">
        <v>65</v>
      </c>
      <c r="B203" s="566"/>
      <c r="C203" s="566"/>
      <c r="G203">
        <v>747000</v>
      </c>
    </row>
    <row r="204" spans="1:11" ht="14.4" x14ac:dyDescent="0.3">
      <c r="A204" s="15"/>
      <c r="B204" s="67" t="s">
        <v>66</v>
      </c>
      <c r="C204" s="68" t="s">
        <v>31</v>
      </c>
      <c r="G204">
        <f>G203*0.18*214/365</f>
        <v>78834.082191780821</v>
      </c>
    </row>
    <row r="205" spans="1:11" ht="14.4" x14ac:dyDescent="0.3">
      <c r="A205" s="12" t="s">
        <v>67</v>
      </c>
      <c r="B205" s="21">
        <v>902719</v>
      </c>
      <c r="C205" s="7">
        <v>939078</v>
      </c>
    </row>
    <row r="206" spans="1:11" ht="14.4" x14ac:dyDescent="0.3">
      <c r="A206" s="15" t="s">
        <v>68</v>
      </c>
      <c r="B206" s="23">
        <f>B205*0.18</f>
        <v>162489.41999999998</v>
      </c>
      <c r="C206" s="5">
        <f>C205*0.18</f>
        <v>169034.04</v>
      </c>
    </row>
    <row r="207" spans="1:11" ht="14.4" x14ac:dyDescent="0.3">
      <c r="A207" s="15" t="s">
        <v>69</v>
      </c>
      <c r="B207" s="23">
        <f>SUM(B205:B206)</f>
        <v>1065208.42</v>
      </c>
      <c r="C207" s="5">
        <f>SUM(C205:C206)</f>
        <v>1108112.04</v>
      </c>
    </row>
    <row r="208" spans="1:11" ht="14.4" x14ac:dyDescent="0.3">
      <c r="A208" s="15" t="s">
        <v>70</v>
      </c>
      <c r="B208" s="23">
        <f>B207*0.18*19/365</f>
        <v>9980.8569764383556</v>
      </c>
      <c r="C208" s="23">
        <f>C207*0.18*19/365</f>
        <v>10382.858018630137</v>
      </c>
      <c r="F208" s="46">
        <v>43921</v>
      </c>
    </row>
    <row r="209" spans="1:6" ht="14.4" x14ac:dyDescent="0.3">
      <c r="A209" s="15" t="s">
        <v>71</v>
      </c>
      <c r="B209" s="44">
        <f>SUM(B207:B208)</f>
        <v>1075189.2769764382</v>
      </c>
      <c r="C209" s="8">
        <f>SUM(C207:C208)</f>
        <v>1118494.8980186302</v>
      </c>
      <c r="F209" s="46">
        <v>43902</v>
      </c>
    </row>
    <row r="210" spans="1:6" ht="14.4" x14ac:dyDescent="0.3">
      <c r="A210" s="15"/>
      <c r="B210" s="22"/>
      <c r="C210" s="1"/>
      <c r="F210">
        <f>F208-F209</f>
        <v>19</v>
      </c>
    </row>
    <row r="211" spans="1:6" ht="14.4" x14ac:dyDescent="0.3">
      <c r="A211" s="15"/>
      <c r="B211" s="22"/>
      <c r="C211" s="1"/>
    </row>
    <row r="212" spans="1:6" ht="14.4" x14ac:dyDescent="0.3">
      <c r="A212" s="15" t="s">
        <v>72</v>
      </c>
      <c r="B212" s="22"/>
      <c r="C212" s="1"/>
    </row>
    <row r="213" spans="1:6" x14ac:dyDescent="0.35">
      <c r="A213" s="15" t="s">
        <v>73</v>
      </c>
      <c r="B213" s="22">
        <v>250000</v>
      </c>
      <c r="C213" s="1">
        <v>250000</v>
      </c>
      <c r="F213" s="46">
        <v>43565</v>
      </c>
    </row>
    <row r="214" spans="1:6" x14ac:dyDescent="0.35">
      <c r="A214" s="15" t="s">
        <v>70</v>
      </c>
      <c r="B214" s="23">
        <f>B213*0.18*356/365</f>
        <v>43890.410958904111</v>
      </c>
      <c r="C214" s="23">
        <f>C213*0.18*356/365</f>
        <v>43890.410958904111</v>
      </c>
      <c r="F214">
        <f>F208-F213</f>
        <v>356</v>
      </c>
    </row>
    <row r="215" spans="1:6" x14ac:dyDescent="0.35">
      <c r="A215" s="15" t="s">
        <v>74</v>
      </c>
      <c r="B215" s="44">
        <f>SUM(B213:B214)</f>
        <v>293890.41095890413</v>
      </c>
      <c r="C215" s="8">
        <f>SUM(C213:C214)</f>
        <v>293890.41095890413</v>
      </c>
    </row>
    <row r="216" spans="1:6" ht="14.4" x14ac:dyDescent="0.3">
      <c r="A216" s="15"/>
      <c r="B216" s="22"/>
      <c r="C216" s="1"/>
    </row>
    <row r="217" spans="1:6" ht="15.65" x14ac:dyDescent="0.3">
      <c r="A217" s="71" t="s">
        <v>75</v>
      </c>
      <c r="B217" s="69">
        <f>B209-B215</f>
        <v>781298.86601753416</v>
      </c>
      <c r="C217" s="70">
        <f>C209-C215</f>
        <v>824604.48705972615</v>
      </c>
    </row>
    <row r="220" spans="1:6" ht="14.4" x14ac:dyDescent="0.3">
      <c r="A220" s="6" t="s">
        <v>85</v>
      </c>
      <c r="C220">
        <v>2000000</v>
      </c>
    </row>
    <row r="221" spans="1:6" ht="14.4" x14ac:dyDescent="0.3">
      <c r="A221" s="15" t="s">
        <v>84</v>
      </c>
      <c r="C221">
        <f>C220*0.18</f>
        <v>360000</v>
      </c>
      <c r="F221" s="46">
        <v>43646</v>
      </c>
    </row>
    <row r="222" spans="1:6" ht="14.4" x14ac:dyDescent="0.3">
      <c r="A222" s="15" t="s">
        <v>86</v>
      </c>
      <c r="C222">
        <f>SUM(C220:C221)</f>
        <v>2360000</v>
      </c>
      <c r="F222">
        <f>F208-F221</f>
        <v>275</v>
      </c>
    </row>
    <row r="223" spans="1:6" ht="14.4" x14ac:dyDescent="0.3">
      <c r="A223" s="15" t="s">
        <v>70</v>
      </c>
      <c r="C223" s="14">
        <f>C222*0.18*275/365</f>
        <v>320054.79452054796</v>
      </c>
    </row>
    <row r="224" spans="1:6" ht="14.4" x14ac:dyDescent="0.3">
      <c r="A224" s="15" t="s">
        <v>87</v>
      </c>
      <c r="C224" s="11">
        <f>SUM(C222:C223)</f>
        <v>2680054.7945205481</v>
      </c>
    </row>
    <row r="228" spans="1:2" ht="14.4" x14ac:dyDescent="0.3">
      <c r="A228" s="543" t="s">
        <v>23</v>
      </c>
      <c r="B228" s="543"/>
    </row>
    <row r="229" spans="1:2" ht="14.4" x14ac:dyDescent="0.3">
      <c r="A229" s="566" t="s">
        <v>65</v>
      </c>
      <c r="B229" s="566"/>
    </row>
    <row r="230" spans="1:2" ht="14.4" x14ac:dyDescent="0.3">
      <c r="A230" s="12" t="s">
        <v>67</v>
      </c>
      <c r="B230" s="7">
        <v>939078</v>
      </c>
    </row>
    <row r="231" spans="1:2" ht="14.4" x14ac:dyDescent="0.3">
      <c r="A231" s="15" t="s">
        <v>68</v>
      </c>
      <c r="B231" s="5">
        <f>B230*0.18</f>
        <v>169034.04</v>
      </c>
    </row>
    <row r="232" spans="1:2" ht="14.4" x14ac:dyDescent="0.3">
      <c r="A232" s="15" t="s">
        <v>69</v>
      </c>
      <c r="B232" s="5">
        <f>SUM(B230:B231)</f>
        <v>1108112.04</v>
      </c>
    </row>
    <row r="233" spans="1:2" ht="14.4" x14ac:dyDescent="0.3">
      <c r="A233" s="15" t="s">
        <v>70</v>
      </c>
      <c r="B233" s="23">
        <f>B232*0.18*19/365</f>
        <v>10382.858018630137</v>
      </c>
    </row>
    <row r="234" spans="1:2" ht="14.4" x14ac:dyDescent="0.3">
      <c r="A234" s="15" t="s">
        <v>71</v>
      </c>
      <c r="B234" s="8">
        <f>SUM(B232:B233)</f>
        <v>1118494.8980186302</v>
      </c>
    </row>
    <row r="235" spans="1:2" ht="14.4" x14ac:dyDescent="0.3">
      <c r="A235" s="15"/>
      <c r="B235" s="1"/>
    </row>
    <row r="236" spans="1:2" ht="14.4" x14ac:dyDescent="0.3">
      <c r="A236" s="15"/>
      <c r="B236" s="1"/>
    </row>
    <row r="237" spans="1:2" ht="14.4" x14ac:dyDescent="0.3">
      <c r="A237" s="15" t="s">
        <v>72</v>
      </c>
      <c r="B237" s="1"/>
    </row>
    <row r="238" spans="1:2" ht="14.4" x14ac:dyDescent="0.3">
      <c r="A238" s="15" t="s">
        <v>73</v>
      </c>
      <c r="B238" s="1">
        <v>250000</v>
      </c>
    </row>
    <row r="239" spans="1:2" ht="14.4" x14ac:dyDescent="0.3">
      <c r="A239" s="15" t="s">
        <v>70</v>
      </c>
      <c r="B239" s="23">
        <f>B238*0.18*356/365</f>
        <v>43890.410958904111</v>
      </c>
    </row>
    <row r="240" spans="1:2" ht="14.4" x14ac:dyDescent="0.3">
      <c r="A240" s="15" t="s">
        <v>74</v>
      </c>
      <c r="B240" s="8">
        <f>SUM(B238:B239)</f>
        <v>293890.41095890413</v>
      </c>
    </row>
    <row r="241" spans="1:8" ht="14.4" x14ac:dyDescent="0.3">
      <c r="A241" s="15"/>
      <c r="B241" s="1"/>
    </row>
    <row r="242" spans="1:8" ht="15.65" x14ac:dyDescent="0.3">
      <c r="A242" s="71" t="s">
        <v>75</v>
      </c>
      <c r="B242" s="70">
        <f>B234-B240</f>
        <v>824604.48705972615</v>
      </c>
    </row>
    <row r="243" spans="1:8" ht="14.4" x14ac:dyDescent="0.3">
      <c r="B243"/>
    </row>
    <row r="244" spans="1:8" ht="14.4" x14ac:dyDescent="0.3">
      <c r="B244"/>
    </row>
    <row r="245" spans="1:8" ht="14.4" x14ac:dyDescent="0.3">
      <c r="A245" s="15" t="s">
        <v>85</v>
      </c>
      <c r="B245" s="1">
        <v>2000000</v>
      </c>
    </row>
    <row r="246" spans="1:8" ht="14.4" x14ac:dyDescent="0.3">
      <c r="A246" s="15" t="s">
        <v>84</v>
      </c>
      <c r="B246" s="1">
        <f>B245*0.18</f>
        <v>360000</v>
      </c>
    </row>
    <row r="247" spans="1:8" ht="14.4" x14ac:dyDescent="0.3">
      <c r="A247" s="12" t="s">
        <v>86</v>
      </c>
      <c r="B247" s="7">
        <f>SUM(B245:B246)</f>
        <v>2360000</v>
      </c>
    </row>
    <row r="248" spans="1:8" ht="14.4" x14ac:dyDescent="0.3">
      <c r="A248" s="15" t="s">
        <v>70</v>
      </c>
      <c r="B248" s="5">
        <f>B247*0.18*275/365</f>
        <v>320054.79452054796</v>
      </c>
    </row>
    <row r="249" spans="1:8" ht="15.65" x14ac:dyDescent="0.3">
      <c r="A249" s="71" t="s">
        <v>87</v>
      </c>
      <c r="B249" s="70">
        <f>SUM(B247:B248)</f>
        <v>2680054.7945205481</v>
      </c>
    </row>
    <row r="251" spans="1:8" ht="15.65" x14ac:dyDescent="0.3">
      <c r="A251" s="71" t="s">
        <v>88</v>
      </c>
      <c r="B251" s="70">
        <f>+B242+B249</f>
        <v>3504659.281580274</v>
      </c>
    </row>
    <row r="254" spans="1:8" ht="14.4" x14ac:dyDescent="0.3">
      <c r="A254" s="614">
        <v>44211</v>
      </c>
      <c r="B254" s="614"/>
      <c r="C254" s="614"/>
      <c r="D254" s="614"/>
      <c r="E254" s="614"/>
      <c r="F254" s="614"/>
      <c r="G254" s="614"/>
      <c r="H254" s="614"/>
    </row>
    <row r="255" spans="1:8" ht="18" x14ac:dyDescent="0.35">
      <c r="A255" s="542" t="s">
        <v>23</v>
      </c>
      <c r="B255" s="542"/>
      <c r="C255" s="542"/>
      <c r="D255" s="542"/>
      <c r="E255" s="542"/>
      <c r="F255" s="542"/>
      <c r="G255" s="542"/>
      <c r="H255" s="542"/>
    </row>
    <row r="257" spans="1:8" ht="14.4" x14ac:dyDescent="0.3">
      <c r="A257" s="12" t="s">
        <v>1</v>
      </c>
      <c r="B257" s="21" t="s">
        <v>7</v>
      </c>
      <c r="C257" s="12" t="s">
        <v>2</v>
      </c>
      <c r="D257" s="12" t="s">
        <v>3</v>
      </c>
      <c r="E257" s="12" t="s">
        <v>4</v>
      </c>
      <c r="F257" s="12" t="s">
        <v>24</v>
      </c>
      <c r="G257" s="12" t="s">
        <v>6</v>
      </c>
      <c r="H257" s="12" t="s">
        <v>25</v>
      </c>
    </row>
    <row r="258" spans="1:8" ht="14.4" x14ac:dyDescent="0.3">
      <c r="A258" s="15"/>
      <c r="B258" s="21" t="s">
        <v>8</v>
      </c>
      <c r="C258" s="1"/>
      <c r="D258" s="1"/>
      <c r="E258" s="1"/>
      <c r="F258" s="1"/>
      <c r="G258" s="1"/>
      <c r="H258" s="1"/>
    </row>
    <row r="259" spans="1:8" ht="14.4" x14ac:dyDescent="0.3">
      <c r="A259" s="40">
        <v>1</v>
      </c>
      <c r="B259" s="22">
        <v>1000000</v>
      </c>
      <c r="C259" s="2">
        <v>42451</v>
      </c>
      <c r="D259" s="2">
        <v>42816</v>
      </c>
      <c r="E259" s="3">
        <f>+D259-C259</f>
        <v>365</v>
      </c>
      <c r="F259" s="4">
        <v>0.18</v>
      </c>
      <c r="G259" s="5">
        <f>B259*E259*F259/365</f>
        <v>180000</v>
      </c>
      <c r="H259" s="5">
        <f>+B259+G259</f>
        <v>1180000</v>
      </c>
    </row>
    <row r="260" spans="1:8" ht="14.4" x14ac:dyDescent="0.3">
      <c r="A260" s="40"/>
      <c r="B260" s="23">
        <f>+H259</f>
        <v>1180000</v>
      </c>
      <c r="C260" s="2">
        <f>+D259</f>
        <v>42816</v>
      </c>
      <c r="D260" s="2">
        <v>43181</v>
      </c>
      <c r="E260" s="3">
        <f t="shared" ref="E260:E263" si="42">+D260-C260</f>
        <v>365</v>
      </c>
      <c r="F260" s="4">
        <v>0.18</v>
      </c>
      <c r="G260" s="5">
        <f t="shared" ref="G260:G263" si="43">B260*E260*F260/365</f>
        <v>212400</v>
      </c>
      <c r="H260" s="5">
        <f t="shared" ref="H260:H263" si="44">+B260+G260</f>
        <v>1392400</v>
      </c>
    </row>
    <row r="261" spans="1:8" ht="14.4" x14ac:dyDescent="0.3">
      <c r="A261" s="40"/>
      <c r="B261" s="23">
        <f>+H260</f>
        <v>1392400</v>
      </c>
      <c r="C261" s="2">
        <f>+D260</f>
        <v>43181</v>
      </c>
      <c r="D261" s="2">
        <v>43546</v>
      </c>
      <c r="E261" s="3">
        <f t="shared" si="42"/>
        <v>365</v>
      </c>
      <c r="F261" s="4">
        <v>0.18</v>
      </c>
      <c r="G261" s="5">
        <f t="shared" si="43"/>
        <v>250632</v>
      </c>
      <c r="H261" s="5">
        <f t="shared" si="44"/>
        <v>1643032</v>
      </c>
    </row>
    <row r="262" spans="1:8" ht="14.4" x14ac:dyDescent="0.3">
      <c r="A262" s="40"/>
      <c r="B262" s="23">
        <f>+H261</f>
        <v>1643032</v>
      </c>
      <c r="C262" s="2">
        <f>+D261</f>
        <v>43546</v>
      </c>
      <c r="D262" s="2">
        <v>43911</v>
      </c>
      <c r="E262" s="3">
        <f t="shared" si="42"/>
        <v>365</v>
      </c>
      <c r="F262" s="4">
        <v>0.18</v>
      </c>
      <c r="G262" s="5">
        <f t="shared" si="43"/>
        <v>295745.75999999995</v>
      </c>
      <c r="H262" s="5">
        <f t="shared" si="44"/>
        <v>1938777.76</v>
      </c>
    </row>
    <row r="263" spans="1:8" ht="14.4" x14ac:dyDescent="0.3">
      <c r="A263" s="40"/>
      <c r="B263" s="23">
        <f>+H262</f>
        <v>1938777.76</v>
      </c>
      <c r="C263" s="2">
        <f>+D262</f>
        <v>43911</v>
      </c>
      <c r="D263" s="2">
        <v>44211</v>
      </c>
      <c r="E263" s="3">
        <f t="shared" si="42"/>
        <v>300</v>
      </c>
      <c r="F263" s="4">
        <v>0.18</v>
      </c>
      <c r="G263" s="5">
        <f t="shared" si="43"/>
        <v>286832.87408219173</v>
      </c>
      <c r="H263" s="8">
        <f t="shared" si="44"/>
        <v>2225610.6340821916</v>
      </c>
    </row>
    <row r="264" spans="1:8" ht="14.4" x14ac:dyDescent="0.3">
      <c r="A264" s="40"/>
      <c r="B264" s="23"/>
      <c r="C264" s="2"/>
      <c r="D264" s="2"/>
      <c r="E264" s="3"/>
      <c r="F264" s="4"/>
      <c r="G264" s="5"/>
      <c r="H264" s="8"/>
    </row>
    <row r="265" spans="1:8" ht="14.4" x14ac:dyDescent="0.3">
      <c r="A265" s="40"/>
      <c r="B265" s="23"/>
      <c r="C265" s="2"/>
      <c r="D265" s="2"/>
      <c r="E265" s="19">
        <f>SUM(E259:E263)</f>
        <v>1760</v>
      </c>
      <c r="F265" s="4"/>
      <c r="G265" s="8"/>
      <c r="H265" s="5"/>
    </row>
    <row r="266" spans="1:8" ht="14.4" x14ac:dyDescent="0.3">
      <c r="A266" s="40"/>
      <c r="B266" s="22"/>
      <c r="C266" s="2"/>
      <c r="D266" s="2"/>
      <c r="E266" s="3"/>
      <c r="F266" s="4"/>
      <c r="G266" s="5"/>
      <c r="H266" s="5"/>
    </row>
    <row r="267" spans="1:8" ht="14.4" x14ac:dyDescent="0.3">
      <c r="A267" s="40">
        <v>2</v>
      </c>
      <c r="B267" s="22">
        <v>1000000</v>
      </c>
      <c r="C267" s="2">
        <v>42630</v>
      </c>
      <c r="D267" s="2">
        <v>42995</v>
      </c>
      <c r="E267" s="3">
        <f t="shared" ref="E267:E271" si="45">+D267-C267</f>
        <v>365</v>
      </c>
      <c r="F267" s="4">
        <v>0.24</v>
      </c>
      <c r="G267" s="5">
        <f t="shared" ref="G267:G271" si="46">B267*E267*F267/365</f>
        <v>240000</v>
      </c>
      <c r="H267" s="5">
        <f>+B267+G267</f>
        <v>1240000</v>
      </c>
    </row>
    <row r="268" spans="1:8" ht="14.4" x14ac:dyDescent="0.3">
      <c r="A268" s="40"/>
      <c r="B268" s="23">
        <f>+H267</f>
        <v>1240000</v>
      </c>
      <c r="C268" s="2">
        <f>+D267</f>
        <v>42995</v>
      </c>
      <c r="D268" s="2">
        <v>43360</v>
      </c>
      <c r="E268" s="3">
        <f t="shared" si="45"/>
        <v>365</v>
      </c>
      <c r="F268" s="4">
        <v>0.24</v>
      </c>
      <c r="G268" s="5">
        <f t="shared" si="46"/>
        <v>297600</v>
      </c>
      <c r="H268" s="5">
        <f>+G268+B268</f>
        <v>1537600</v>
      </c>
    </row>
    <row r="269" spans="1:8" ht="14.4" x14ac:dyDescent="0.3">
      <c r="A269" s="54"/>
      <c r="B269" s="23">
        <f>+H268</f>
        <v>1537600</v>
      </c>
      <c r="C269" s="2">
        <f>+D268</f>
        <v>43360</v>
      </c>
      <c r="D269" s="2">
        <v>43725</v>
      </c>
      <c r="E269" s="3">
        <f t="shared" si="45"/>
        <v>365</v>
      </c>
      <c r="F269" s="4">
        <v>0.24</v>
      </c>
      <c r="G269" s="5">
        <f t="shared" si="46"/>
        <v>369024</v>
      </c>
      <c r="H269" s="5">
        <f>+G269+B269</f>
        <v>1906624</v>
      </c>
    </row>
    <row r="270" spans="1:8" ht="14.4" x14ac:dyDescent="0.3">
      <c r="A270" s="54"/>
      <c r="B270" s="23">
        <f>+H269</f>
        <v>1906624</v>
      </c>
      <c r="C270" s="2">
        <f>+D269</f>
        <v>43725</v>
      </c>
      <c r="D270" s="2">
        <v>44091</v>
      </c>
      <c r="E270" s="3">
        <f t="shared" si="45"/>
        <v>366</v>
      </c>
      <c r="F270" s="4">
        <v>0.24</v>
      </c>
      <c r="G270" s="5">
        <f t="shared" si="46"/>
        <v>458843.43057534244</v>
      </c>
      <c r="H270" s="8">
        <f>+G270+B270</f>
        <v>2365467.4305753424</v>
      </c>
    </row>
    <row r="271" spans="1:8" ht="14.4" x14ac:dyDescent="0.3">
      <c r="A271" s="54"/>
      <c r="B271" s="23">
        <f>+H270</f>
        <v>2365467.4305753424</v>
      </c>
      <c r="C271" s="2">
        <f>+D270</f>
        <v>44091</v>
      </c>
      <c r="D271" s="2">
        <v>44211</v>
      </c>
      <c r="E271" s="3">
        <f t="shared" si="45"/>
        <v>120</v>
      </c>
      <c r="F271" s="4">
        <v>0.24</v>
      </c>
      <c r="G271" s="5">
        <f t="shared" si="46"/>
        <v>186645.1013714243</v>
      </c>
      <c r="H271" s="8">
        <f>+G271+B271</f>
        <v>2552112.5319467667</v>
      </c>
    </row>
    <row r="272" spans="1:8" ht="14.4" x14ac:dyDescent="0.3">
      <c r="A272" s="54"/>
      <c r="B272" s="23"/>
      <c r="C272" s="2"/>
      <c r="D272" s="2"/>
      <c r="E272" s="19">
        <f>SUM(E267:E269)</f>
        <v>1095</v>
      </c>
      <c r="F272" s="4"/>
      <c r="G272" s="8"/>
      <c r="H272" s="8"/>
    </row>
    <row r="273" spans="1:8" ht="14.4" x14ac:dyDescent="0.3">
      <c r="A273" s="54"/>
      <c r="B273" s="23"/>
      <c r="C273" s="2"/>
      <c r="D273" s="2"/>
      <c r="E273" s="19"/>
      <c r="F273" s="4"/>
      <c r="G273" s="8"/>
      <c r="H273" s="8"/>
    </row>
    <row r="274" spans="1:8" ht="14.4" x14ac:dyDescent="0.3">
      <c r="A274" s="54">
        <v>3</v>
      </c>
      <c r="B274" s="23">
        <v>2000000</v>
      </c>
      <c r="C274" s="2">
        <v>43281</v>
      </c>
      <c r="D274" s="2">
        <v>43646</v>
      </c>
      <c r="E274" s="19">
        <v>365</v>
      </c>
      <c r="F274" s="4">
        <v>0.18</v>
      </c>
      <c r="G274" s="5">
        <f t="shared" ref="G274:G275" si="47">B274*E274*F274/365</f>
        <v>360000</v>
      </c>
      <c r="H274" s="5">
        <f>+G274+B274</f>
        <v>2360000</v>
      </c>
    </row>
    <row r="275" spans="1:8" ht="14.4" x14ac:dyDescent="0.3">
      <c r="A275" s="16"/>
      <c r="B275" s="23">
        <f>+H274</f>
        <v>2360000</v>
      </c>
      <c r="C275" s="2">
        <f>+D274</f>
        <v>43646</v>
      </c>
      <c r="D275" s="2">
        <v>44012</v>
      </c>
      <c r="E275" s="19">
        <v>365</v>
      </c>
      <c r="F275" s="4">
        <v>0.18</v>
      </c>
      <c r="G275" s="5">
        <f t="shared" si="47"/>
        <v>424800</v>
      </c>
      <c r="H275" s="5">
        <f>+G275+B275</f>
        <v>2784800</v>
      </c>
    </row>
    <row r="276" spans="1:8" ht="14.4" x14ac:dyDescent="0.3">
      <c r="A276" s="16"/>
      <c r="B276" s="23">
        <f>+H275</f>
        <v>2784800</v>
      </c>
      <c r="C276" s="2">
        <v>44012</v>
      </c>
      <c r="D276" s="2">
        <v>44211</v>
      </c>
      <c r="E276" s="3">
        <f t="shared" ref="E276" si="48">+D276-C276</f>
        <v>199</v>
      </c>
      <c r="F276" s="4">
        <v>0.18</v>
      </c>
      <c r="G276" s="5">
        <f>B276*E276*F276/365</f>
        <v>273291.8794520548</v>
      </c>
      <c r="H276" s="5">
        <f>+G276+B276</f>
        <v>3058091.8794520549</v>
      </c>
    </row>
    <row r="277" spans="1:8" ht="14.4" x14ac:dyDescent="0.3">
      <c r="A277" s="16"/>
      <c r="B277" s="22"/>
      <c r="C277" s="2"/>
      <c r="D277" s="2"/>
      <c r="E277" s="19"/>
      <c r="F277" s="4"/>
      <c r="G277" s="5"/>
      <c r="H277" s="5"/>
    </row>
    <row r="278" spans="1:8" ht="14.4" x14ac:dyDescent="0.3">
      <c r="A278" s="100" t="s">
        <v>22</v>
      </c>
      <c r="B278" s="103">
        <f>+B259+B267+B274</f>
        <v>4000000</v>
      </c>
      <c r="C278" s="101"/>
      <c r="D278" s="101"/>
      <c r="E278" s="101"/>
      <c r="F278" s="102"/>
      <c r="G278" s="8">
        <f>SUM(G259:G277)</f>
        <v>3835815.0454810131</v>
      </c>
      <c r="H278" s="8">
        <f>+B278+G278</f>
        <v>7835815.0454810131</v>
      </c>
    </row>
    <row r="280" spans="1:8" ht="14.4" x14ac:dyDescent="0.3">
      <c r="A280" s="12" t="s">
        <v>1</v>
      </c>
      <c r="B280" s="21" t="s">
        <v>7</v>
      </c>
      <c r="C280" s="12" t="s">
        <v>2</v>
      </c>
      <c r="D280" s="12" t="s">
        <v>3</v>
      </c>
      <c r="E280" s="12" t="s">
        <v>4</v>
      </c>
      <c r="F280" s="12" t="s">
        <v>5</v>
      </c>
      <c r="G280" s="12" t="s">
        <v>6</v>
      </c>
      <c r="H280" s="12"/>
    </row>
    <row r="281" spans="1:8" ht="14.4" x14ac:dyDescent="0.3">
      <c r="A281" s="15"/>
      <c r="B281" s="21" t="s">
        <v>9</v>
      </c>
      <c r="C281" s="1"/>
      <c r="D281" s="1"/>
      <c r="E281" s="1"/>
      <c r="F281" s="1"/>
      <c r="G281" s="1"/>
      <c r="H281" s="1"/>
    </row>
    <row r="282" spans="1:8" ht="14.4" x14ac:dyDescent="0.3">
      <c r="A282" s="49">
        <v>43265</v>
      </c>
      <c r="B282" s="50">
        <v>1000000</v>
      </c>
      <c r="C282" s="2">
        <v>43265</v>
      </c>
      <c r="D282" s="2">
        <v>43630</v>
      </c>
      <c r="E282" s="3">
        <f t="shared" ref="E282" si="49">+D282-C282</f>
        <v>365</v>
      </c>
      <c r="F282" s="4">
        <v>0.18</v>
      </c>
      <c r="G282" s="5">
        <f t="shared" ref="G282:G283" si="50">B282*E282*F282/365</f>
        <v>180000</v>
      </c>
      <c r="H282" s="5"/>
    </row>
    <row r="283" spans="1:8" ht="14.4" x14ac:dyDescent="0.3">
      <c r="A283" s="17"/>
      <c r="B283" s="23">
        <f>+B282+G282</f>
        <v>1180000</v>
      </c>
      <c r="C283" s="2">
        <f>+D282</f>
        <v>43630</v>
      </c>
      <c r="D283" s="2">
        <v>43996</v>
      </c>
      <c r="E283" s="3">
        <v>365</v>
      </c>
      <c r="F283" s="4">
        <v>0.18</v>
      </c>
      <c r="G283" s="5">
        <f t="shared" si="50"/>
        <v>212400</v>
      </c>
      <c r="H283" s="5"/>
    </row>
    <row r="284" spans="1:8" ht="14.4" x14ac:dyDescent="0.3">
      <c r="A284" s="17"/>
      <c r="B284" s="23">
        <f>+B283+G283</f>
        <v>1392400</v>
      </c>
      <c r="C284" s="2">
        <v>43996</v>
      </c>
      <c r="D284" s="2">
        <v>44211</v>
      </c>
      <c r="E284" s="3">
        <f t="shared" ref="E284" si="51">+D284-C284</f>
        <v>215</v>
      </c>
      <c r="F284" s="4">
        <v>0.18</v>
      </c>
      <c r="G284" s="5">
        <f>B284*E284*F284/365</f>
        <v>147632.54794520547</v>
      </c>
      <c r="H284" s="5"/>
    </row>
    <row r="285" spans="1:8" ht="14.4" x14ac:dyDescent="0.3">
      <c r="A285" s="17"/>
      <c r="B285" s="23"/>
      <c r="C285" s="2"/>
      <c r="D285" s="2"/>
      <c r="E285" s="3"/>
      <c r="F285" s="4"/>
      <c r="G285" s="5"/>
      <c r="H285" s="5"/>
    </row>
    <row r="286" spans="1:8" ht="14.4" x14ac:dyDescent="0.3">
      <c r="A286" s="49">
        <v>43271</v>
      </c>
      <c r="B286" s="50">
        <v>500000</v>
      </c>
      <c r="C286" s="2">
        <v>43271</v>
      </c>
      <c r="D286" s="2">
        <v>43636</v>
      </c>
      <c r="E286" s="3">
        <f t="shared" ref="E286" si="52">+D286-C286</f>
        <v>365</v>
      </c>
      <c r="F286" s="4">
        <v>0.18</v>
      </c>
      <c r="G286" s="5">
        <f t="shared" ref="G286:G287" si="53">B286*E286*F286/365</f>
        <v>90000</v>
      </c>
      <c r="H286" s="5"/>
    </row>
    <row r="287" spans="1:8" ht="14.4" x14ac:dyDescent="0.3">
      <c r="A287" s="17"/>
      <c r="B287" s="23">
        <f>+B286+G286</f>
        <v>590000</v>
      </c>
      <c r="C287" s="2">
        <f>+D286</f>
        <v>43636</v>
      </c>
      <c r="D287" s="2">
        <v>44002</v>
      </c>
      <c r="E287" s="3">
        <v>365</v>
      </c>
      <c r="F287" s="4">
        <v>0.18</v>
      </c>
      <c r="G287" s="5">
        <f t="shared" si="53"/>
        <v>106200</v>
      </c>
      <c r="H287" s="5"/>
    </row>
    <row r="288" spans="1:8" ht="14.4" x14ac:dyDescent="0.3">
      <c r="A288" s="17"/>
      <c r="B288" s="23">
        <f>+B287+G287</f>
        <v>696200</v>
      </c>
      <c r="C288" s="2">
        <f>+D287</f>
        <v>44002</v>
      </c>
      <c r="D288" s="2">
        <f>+D284</f>
        <v>44211</v>
      </c>
      <c r="E288" s="3">
        <f t="shared" ref="E288" si="54">+D288-C288</f>
        <v>209</v>
      </c>
      <c r="F288" s="4">
        <v>0.18</v>
      </c>
      <c r="G288" s="5">
        <f t="shared" ref="G288" si="55">B288*E288*F288/365</f>
        <v>71756.284931506845</v>
      </c>
      <c r="H288" s="5"/>
    </row>
    <row r="289" spans="1:8" ht="14.4" x14ac:dyDescent="0.3">
      <c r="A289" s="17"/>
      <c r="B289" s="23"/>
      <c r="C289" s="2"/>
      <c r="D289" s="2"/>
      <c r="E289" s="3"/>
      <c r="F289" s="4"/>
      <c r="G289" s="5"/>
      <c r="H289" s="5"/>
    </row>
    <row r="290" spans="1:8" ht="14.4" x14ac:dyDescent="0.3">
      <c r="A290" s="49">
        <v>43536</v>
      </c>
      <c r="B290" s="51">
        <v>750000</v>
      </c>
      <c r="C290" s="2">
        <v>43536</v>
      </c>
      <c r="D290" s="2">
        <v>43902</v>
      </c>
      <c r="E290" s="3">
        <v>365</v>
      </c>
      <c r="F290" s="4">
        <v>0.18</v>
      </c>
      <c r="G290" s="5">
        <f t="shared" ref="G290:G294" si="56">B290*E290*F290/365</f>
        <v>135000</v>
      </c>
      <c r="H290" s="5"/>
    </row>
    <row r="291" spans="1:8" ht="14.4" x14ac:dyDescent="0.3">
      <c r="A291" s="17"/>
      <c r="B291" s="23">
        <f>B290+G290</f>
        <v>885000</v>
      </c>
      <c r="C291" s="2">
        <f>+D290</f>
        <v>43902</v>
      </c>
      <c r="D291" s="2">
        <f>+D288</f>
        <v>44211</v>
      </c>
      <c r="E291" s="3">
        <f t="shared" ref="E291:E294" si="57">+D291-C291</f>
        <v>309</v>
      </c>
      <c r="F291" s="4">
        <v>0.18</v>
      </c>
      <c r="G291" s="5">
        <f t="shared" si="56"/>
        <v>134859.45205479453</v>
      </c>
      <c r="H291" s="5"/>
    </row>
    <row r="292" spans="1:8" ht="14.4" x14ac:dyDescent="0.3">
      <c r="A292" s="17"/>
      <c r="B292" s="23"/>
      <c r="C292" s="2"/>
      <c r="D292" s="2"/>
      <c r="E292" s="3"/>
      <c r="F292" s="4"/>
      <c r="G292" s="5"/>
      <c r="H292" s="5"/>
    </row>
    <row r="293" spans="1:8" ht="14.4" x14ac:dyDescent="0.3">
      <c r="A293" s="49">
        <v>43565</v>
      </c>
      <c r="B293" s="51">
        <v>250000</v>
      </c>
      <c r="C293" s="2">
        <v>43577</v>
      </c>
      <c r="D293" s="2">
        <v>43943</v>
      </c>
      <c r="E293" s="3">
        <v>365</v>
      </c>
      <c r="F293" s="4">
        <v>0.18</v>
      </c>
      <c r="G293" s="5">
        <f t="shared" si="56"/>
        <v>45000</v>
      </c>
      <c r="H293" s="5"/>
    </row>
    <row r="294" spans="1:8" ht="14.4" x14ac:dyDescent="0.3">
      <c r="A294" s="49"/>
      <c r="B294" s="51">
        <f>+B293+G293</f>
        <v>295000</v>
      </c>
      <c r="C294" s="2">
        <f>+D293</f>
        <v>43943</v>
      </c>
      <c r="D294" s="2">
        <f>+D291</f>
        <v>44211</v>
      </c>
      <c r="E294" s="3">
        <f t="shared" si="57"/>
        <v>268</v>
      </c>
      <c r="F294" s="4">
        <v>0.18</v>
      </c>
      <c r="G294" s="5">
        <f t="shared" si="56"/>
        <v>38988.493150684932</v>
      </c>
      <c r="H294" s="5"/>
    </row>
    <row r="295" spans="1:8" ht="14.4" x14ac:dyDescent="0.3">
      <c r="A295" s="17"/>
      <c r="B295" s="23"/>
      <c r="C295" s="2"/>
      <c r="D295" s="2"/>
      <c r="E295" s="3"/>
      <c r="F295" s="4"/>
      <c r="G295" s="5"/>
      <c r="H295" s="5"/>
    </row>
    <row r="296" spans="1:8" ht="14.4" x14ac:dyDescent="0.3">
      <c r="A296" s="17">
        <v>44013</v>
      </c>
      <c r="B296" s="23">
        <v>1000000</v>
      </c>
      <c r="C296" s="2">
        <v>44013</v>
      </c>
      <c r="D296" s="2">
        <v>44211</v>
      </c>
      <c r="E296" s="3">
        <f t="shared" ref="E296" si="58">+D296-C296</f>
        <v>198</v>
      </c>
      <c r="F296" s="4">
        <v>0.18</v>
      </c>
      <c r="G296" s="5">
        <f t="shared" ref="G296" si="59">B296*E296*F296/365</f>
        <v>97643.835616438359</v>
      </c>
      <c r="H296" s="5"/>
    </row>
    <row r="297" spans="1:8" ht="14.4" x14ac:dyDescent="0.3">
      <c r="A297" s="17"/>
      <c r="B297" s="23"/>
      <c r="C297" s="2"/>
      <c r="D297" s="2"/>
      <c r="E297" s="3"/>
      <c r="F297" s="4"/>
      <c r="G297" s="5"/>
      <c r="H297" s="5"/>
    </row>
    <row r="298" spans="1:8" ht="14.4" x14ac:dyDescent="0.3">
      <c r="A298" s="15"/>
      <c r="B298" s="44">
        <f>+B282+B286+B290+B293+B296</f>
        <v>3500000</v>
      </c>
      <c r="C298" s="2"/>
      <c r="D298" s="2"/>
      <c r="E298" s="1"/>
      <c r="F298" s="1"/>
      <c r="G298" s="1"/>
      <c r="H298" s="1"/>
    </row>
    <row r="299" spans="1:8" ht="14.4" x14ac:dyDescent="0.3">
      <c r="A299" s="539" t="s">
        <v>11</v>
      </c>
      <c r="B299" s="541"/>
      <c r="C299" s="541"/>
      <c r="D299" s="541"/>
      <c r="E299" s="541"/>
      <c r="F299" s="540"/>
      <c r="G299" s="8">
        <f>SUM(G282:G298)</f>
        <v>1259480.6136986304</v>
      </c>
      <c r="H299" s="8">
        <f>+G299+B298</f>
        <v>4759480.6136986306</v>
      </c>
    </row>
    <row r="300" spans="1:8" ht="14.4" x14ac:dyDescent="0.3">
      <c r="A300" s="543"/>
      <c r="B300" s="543"/>
      <c r="C300" s="543"/>
      <c r="D300" s="543"/>
      <c r="E300" s="543"/>
      <c r="F300" s="543"/>
      <c r="G300" s="8"/>
      <c r="H300" s="8"/>
    </row>
    <row r="301" spans="1:8" ht="15" thickBot="1" x14ac:dyDescent="0.35">
      <c r="A301" s="10"/>
      <c r="B301" s="24" t="s">
        <v>15</v>
      </c>
      <c r="C301" s="10"/>
      <c r="D301" s="10"/>
      <c r="E301" s="10"/>
      <c r="F301" s="10"/>
      <c r="G301" s="11"/>
      <c r="H301" s="11"/>
    </row>
    <row r="302" spans="1:8" ht="14.4" x14ac:dyDescent="0.3">
      <c r="A302" s="12"/>
      <c r="B302" s="21"/>
      <c r="C302" s="12" t="s">
        <v>8</v>
      </c>
      <c r="D302" s="12" t="s">
        <v>21</v>
      </c>
      <c r="E302" s="10"/>
      <c r="F302" s="10"/>
      <c r="G302" s="26" t="s">
        <v>26</v>
      </c>
      <c r="H302" s="27">
        <f>+H278</f>
        <v>7835815.0454810131</v>
      </c>
    </row>
    <row r="303" spans="1:8" ht="14.4" x14ac:dyDescent="0.3">
      <c r="A303" s="12" t="s">
        <v>16</v>
      </c>
      <c r="B303" s="13" t="s">
        <v>12</v>
      </c>
      <c r="C303" s="12">
        <v>1000000</v>
      </c>
      <c r="D303" s="13"/>
      <c r="E303" s="10"/>
      <c r="F303" s="10"/>
      <c r="G303" s="28" t="s">
        <v>20</v>
      </c>
      <c r="H303" s="29"/>
    </row>
    <row r="304" spans="1:8" ht="14.4" x14ac:dyDescent="0.3">
      <c r="A304" s="12" t="s">
        <v>17</v>
      </c>
      <c r="B304" s="13" t="s">
        <v>12</v>
      </c>
      <c r="C304" s="12">
        <v>1000000</v>
      </c>
      <c r="D304" s="13"/>
      <c r="E304" s="10"/>
      <c r="F304" s="10"/>
      <c r="G304" s="28" t="s">
        <v>28</v>
      </c>
      <c r="H304" s="29">
        <f>+G299</f>
        <v>1259480.6136986304</v>
      </c>
    </row>
    <row r="305" spans="1:8" ht="14.4" x14ac:dyDescent="0.3">
      <c r="A305" s="12" t="s">
        <v>20</v>
      </c>
      <c r="B305" s="60"/>
      <c r="C305" s="12"/>
      <c r="D305" s="61"/>
      <c r="G305" s="28" t="s">
        <v>21</v>
      </c>
      <c r="H305" s="29">
        <f>+B298</f>
        <v>3500000</v>
      </c>
    </row>
    <row r="306" spans="1:8" ht="15" thickBot="1" x14ac:dyDescent="0.35">
      <c r="A306" s="12" t="s">
        <v>18</v>
      </c>
      <c r="B306" s="21" t="s">
        <v>21</v>
      </c>
      <c r="C306" s="12"/>
      <c r="D306" s="12">
        <v>1000000</v>
      </c>
      <c r="G306" s="31"/>
      <c r="H306" s="52"/>
    </row>
    <row r="307" spans="1:8" ht="15" thickBot="1" x14ac:dyDescent="0.35">
      <c r="A307" s="12" t="s">
        <v>19</v>
      </c>
      <c r="B307" s="21" t="s">
        <v>21</v>
      </c>
      <c r="C307" s="12"/>
      <c r="D307" s="12">
        <v>500000</v>
      </c>
      <c r="G307" s="34" t="s">
        <v>14</v>
      </c>
      <c r="H307" s="53">
        <f>+H302-H304-H305</f>
        <v>3076334.4317823825</v>
      </c>
    </row>
    <row r="308" spans="1:8" ht="14.4" x14ac:dyDescent="0.3">
      <c r="A308" s="12" t="s">
        <v>36</v>
      </c>
      <c r="B308" s="21" t="s">
        <v>21</v>
      </c>
      <c r="C308" s="12"/>
      <c r="D308" s="12">
        <v>750000</v>
      </c>
    </row>
    <row r="309" spans="1:8" ht="14.4" x14ac:dyDescent="0.3">
      <c r="A309" s="12" t="s">
        <v>102</v>
      </c>
      <c r="B309" s="21" t="s">
        <v>21</v>
      </c>
      <c r="C309" s="12"/>
      <c r="D309" s="12">
        <v>250000</v>
      </c>
    </row>
    <row r="310" spans="1:8" ht="14.4" x14ac:dyDescent="0.3">
      <c r="A310" s="12" t="s">
        <v>103</v>
      </c>
      <c r="B310" s="21" t="s">
        <v>21</v>
      </c>
      <c r="C310" s="12"/>
      <c r="D310" s="12">
        <v>1000000</v>
      </c>
    </row>
    <row r="311" spans="1:8" ht="14.4" x14ac:dyDescent="0.3">
      <c r="A311" s="12"/>
      <c r="B311" s="21" t="s">
        <v>22</v>
      </c>
      <c r="C311" s="12">
        <f>+SUM(C303:C308)</f>
        <v>2000000</v>
      </c>
      <c r="D311" s="12">
        <f>+SUM(D306:D310)</f>
        <v>3500000</v>
      </c>
      <c r="H311" s="14"/>
    </row>
    <row r="314" spans="1:8" ht="14.4" x14ac:dyDescent="0.3">
      <c r="A314" s="566" t="s">
        <v>23</v>
      </c>
      <c r="B314" s="566"/>
      <c r="C314" s="566"/>
    </row>
    <row r="315" spans="1:8" ht="14.4" x14ac:dyDescent="0.3">
      <c r="A315" s="566" t="s">
        <v>65</v>
      </c>
      <c r="B315" s="566"/>
      <c r="C315" s="566"/>
      <c r="G315">
        <v>747000</v>
      </c>
    </row>
    <row r="316" spans="1:8" ht="14.4" x14ac:dyDescent="0.3">
      <c r="A316" s="15"/>
      <c r="B316" s="67" t="s">
        <v>66</v>
      </c>
      <c r="C316" s="68" t="s">
        <v>31</v>
      </c>
      <c r="G316">
        <f>G315*0.18*214/365</f>
        <v>78834.082191780821</v>
      </c>
    </row>
    <row r="317" spans="1:8" x14ac:dyDescent="0.35">
      <c r="A317" s="12" t="s">
        <v>67</v>
      </c>
      <c r="B317" s="21">
        <v>902719</v>
      </c>
      <c r="C317" s="7">
        <v>939078</v>
      </c>
    </row>
    <row r="318" spans="1:8" x14ac:dyDescent="0.35">
      <c r="A318" s="15" t="s">
        <v>68</v>
      </c>
      <c r="B318" s="23">
        <f>B317*0.18</f>
        <v>162489.41999999998</v>
      </c>
      <c r="C318" s="5">
        <f>C317*0.18</f>
        <v>169034.04</v>
      </c>
    </row>
    <row r="319" spans="1:8" x14ac:dyDescent="0.35">
      <c r="A319" s="15" t="s">
        <v>69</v>
      </c>
      <c r="B319" s="23">
        <f>SUM(B317:B318)</f>
        <v>1065208.42</v>
      </c>
      <c r="C319" s="5">
        <f>SUM(C317:C318)</f>
        <v>1108112.04</v>
      </c>
    </row>
    <row r="320" spans="1:8" x14ac:dyDescent="0.35">
      <c r="A320" s="15" t="s">
        <v>104</v>
      </c>
      <c r="B320" s="23">
        <f>B319*0.18*309/365</f>
        <v>162320.25293260271</v>
      </c>
      <c r="C320" s="23">
        <f>C319*0.18*309/365</f>
        <v>168858.05935561642</v>
      </c>
      <c r="F320" s="46">
        <v>44211</v>
      </c>
    </row>
    <row r="321" spans="1:7" x14ac:dyDescent="0.35">
      <c r="A321" s="15" t="s">
        <v>110</v>
      </c>
      <c r="B321" s="44">
        <f>SUM(B319:B320)</f>
        <v>1227528.6729326027</v>
      </c>
      <c r="C321" s="8">
        <f>SUM(C319:C320)</f>
        <v>1276970.0993556164</v>
      </c>
      <c r="F321" s="46">
        <v>43902</v>
      </c>
    </row>
    <row r="322" spans="1:7" x14ac:dyDescent="0.35">
      <c r="A322" s="15"/>
      <c r="B322" s="22"/>
      <c r="C322" s="1"/>
      <c r="F322">
        <f>F320-F321</f>
        <v>309</v>
      </c>
    </row>
    <row r="323" spans="1:7" x14ac:dyDescent="0.35">
      <c r="A323" s="15" t="s">
        <v>85</v>
      </c>
      <c r="B323" s="1">
        <v>2000000</v>
      </c>
      <c r="C323" s="1">
        <v>2000000</v>
      </c>
    </row>
    <row r="324" spans="1:7" x14ac:dyDescent="0.35">
      <c r="A324" s="15" t="s">
        <v>84</v>
      </c>
      <c r="B324" s="1">
        <f>B323*0.18</f>
        <v>360000</v>
      </c>
      <c r="C324" s="1">
        <f>C323*0.18</f>
        <v>360000</v>
      </c>
      <c r="F324" s="46">
        <v>43646</v>
      </c>
    </row>
    <row r="325" spans="1:7" x14ac:dyDescent="0.35">
      <c r="A325" s="15" t="s">
        <v>86</v>
      </c>
      <c r="B325" s="1">
        <f>SUM(B323:B324)</f>
        <v>2360000</v>
      </c>
      <c r="C325" s="1">
        <f>SUM(C323:C324)</f>
        <v>2360000</v>
      </c>
      <c r="F325">
        <f>F299-F324</f>
        <v>-43646</v>
      </c>
    </row>
    <row r="326" spans="1:7" x14ac:dyDescent="0.35">
      <c r="A326" s="15" t="s">
        <v>107</v>
      </c>
      <c r="B326" s="5">
        <f>B325*0.18</f>
        <v>424800</v>
      </c>
      <c r="C326" s="5">
        <f>C325*0.18</f>
        <v>424800</v>
      </c>
    </row>
    <row r="327" spans="1:7" x14ac:dyDescent="0.35">
      <c r="A327" s="15" t="s">
        <v>108</v>
      </c>
      <c r="B327" s="8">
        <f>SUM(B325:B326)</f>
        <v>2784800</v>
      </c>
      <c r="C327" s="8">
        <f>SUM(C325:C326)</f>
        <v>2784800</v>
      </c>
      <c r="F327" s="46">
        <v>44012</v>
      </c>
      <c r="G327">
        <f>+F320-F327</f>
        <v>199</v>
      </c>
    </row>
    <row r="328" spans="1:7" x14ac:dyDescent="0.35">
      <c r="A328" s="15" t="s">
        <v>104</v>
      </c>
      <c r="B328" s="23">
        <f>B327*0.18*G327/365</f>
        <v>273291.8794520548</v>
      </c>
      <c r="C328" s="23">
        <f>C327*0.18*G327/365</f>
        <v>273291.8794520548</v>
      </c>
    </row>
    <row r="329" spans="1:7" x14ac:dyDescent="0.35">
      <c r="A329" s="15" t="s">
        <v>111</v>
      </c>
      <c r="B329" s="44">
        <f>SUM(B327:B328)</f>
        <v>3058091.8794520549</v>
      </c>
      <c r="C329" s="44">
        <f>SUM(C327:C328)</f>
        <v>3058091.8794520549</v>
      </c>
    </row>
    <row r="330" spans="1:7" x14ac:dyDescent="0.35">
      <c r="A330" s="94"/>
      <c r="B330" s="92"/>
      <c r="C330" s="92"/>
    </row>
    <row r="331" spans="1:7" x14ac:dyDescent="0.35">
      <c r="A331" s="12" t="s">
        <v>111</v>
      </c>
      <c r="B331" s="44">
        <f>+B329+B321</f>
        <v>4285620.5523846578</v>
      </c>
      <c r="C331" s="44">
        <f>+C329+C321</f>
        <v>4335061.978807671</v>
      </c>
    </row>
    <row r="332" spans="1:7" x14ac:dyDescent="0.35">
      <c r="A332" s="93"/>
      <c r="B332" s="92"/>
    </row>
    <row r="333" spans="1:7" x14ac:dyDescent="0.35">
      <c r="A333" s="15"/>
      <c r="B333" s="22"/>
      <c r="C333" s="1"/>
    </row>
    <row r="334" spans="1:7" x14ac:dyDescent="0.35">
      <c r="A334" s="15" t="s">
        <v>72</v>
      </c>
      <c r="B334" s="22"/>
      <c r="C334" s="1"/>
    </row>
    <row r="335" spans="1:7" x14ac:dyDescent="0.35">
      <c r="A335" s="15" t="s">
        <v>73</v>
      </c>
      <c r="B335" s="22">
        <v>250000</v>
      </c>
      <c r="C335" s="1">
        <v>250000</v>
      </c>
      <c r="F335" s="46">
        <v>43931</v>
      </c>
    </row>
    <row r="336" spans="1:7" x14ac:dyDescent="0.35">
      <c r="A336" s="15" t="s">
        <v>105</v>
      </c>
      <c r="B336" s="23">
        <f>B335*0.18</f>
        <v>45000</v>
      </c>
      <c r="C336" s="23">
        <f>C335*0.18</f>
        <v>45000</v>
      </c>
      <c r="F336">
        <f>F320-F335</f>
        <v>280</v>
      </c>
    </row>
    <row r="337" spans="1:6" x14ac:dyDescent="0.35">
      <c r="A337" s="15" t="s">
        <v>106</v>
      </c>
      <c r="B337" s="23">
        <f>SUM(B335:B336)</f>
        <v>295000</v>
      </c>
      <c r="C337" s="23">
        <f>SUM(C335:C336)</f>
        <v>295000</v>
      </c>
    </row>
    <row r="338" spans="1:6" x14ac:dyDescent="0.35">
      <c r="A338" s="15" t="s">
        <v>104</v>
      </c>
      <c r="B338" s="23">
        <f>B337*0.18*280/365</f>
        <v>40734.246575342462</v>
      </c>
      <c r="C338" s="23">
        <f>C337*0.18*280/365</f>
        <v>40734.246575342462</v>
      </c>
    </row>
    <row r="339" spans="1:6" x14ac:dyDescent="0.35">
      <c r="A339" s="15"/>
      <c r="B339" s="23"/>
      <c r="C339" s="23"/>
    </row>
    <row r="340" spans="1:6" x14ac:dyDescent="0.35">
      <c r="A340" s="15" t="s">
        <v>109</v>
      </c>
      <c r="B340" s="22">
        <v>1000000</v>
      </c>
      <c r="C340" s="1">
        <v>1000000</v>
      </c>
      <c r="F340" s="46">
        <v>44013</v>
      </c>
    </row>
    <row r="341" spans="1:6" x14ac:dyDescent="0.35">
      <c r="A341" s="15" t="s">
        <v>104</v>
      </c>
      <c r="B341" s="23">
        <f>B340*0.18*198/365</f>
        <v>97643.835616438359</v>
      </c>
      <c r="C341" s="23">
        <f>C340*0.18*198/365</f>
        <v>97643.835616438359</v>
      </c>
      <c r="F341">
        <f>F320-F340</f>
        <v>198</v>
      </c>
    </row>
    <row r="342" spans="1:6" x14ac:dyDescent="0.35">
      <c r="A342" s="15"/>
      <c r="B342" s="23"/>
      <c r="C342" s="23"/>
    </row>
    <row r="343" spans="1:6" x14ac:dyDescent="0.35">
      <c r="A343" s="15" t="s">
        <v>74</v>
      </c>
      <c r="B343" s="44">
        <f>SUM(B337:B341)</f>
        <v>1433378.0821917809</v>
      </c>
      <c r="C343" s="44">
        <f>SUM(C337:C341)</f>
        <v>1433378.0821917809</v>
      </c>
    </row>
    <row r="344" spans="1:6" x14ac:dyDescent="0.35">
      <c r="A344" s="15"/>
      <c r="B344" s="23"/>
      <c r="C344" s="1"/>
    </row>
    <row r="345" spans="1:6" ht="15.5" x14ac:dyDescent="0.35">
      <c r="A345" s="71" t="s">
        <v>75</v>
      </c>
      <c r="B345" s="69">
        <f>+B331-B343</f>
        <v>2852242.4701928766</v>
      </c>
      <c r="C345" s="69">
        <f>+C331-C343</f>
        <v>2901683.8966158899</v>
      </c>
    </row>
    <row r="348" spans="1:6" x14ac:dyDescent="0.35">
      <c r="A348" s="6" t="s">
        <v>85</v>
      </c>
      <c r="C348">
        <v>2000000</v>
      </c>
    </row>
    <row r="349" spans="1:6" x14ac:dyDescent="0.35">
      <c r="A349" s="15" t="s">
        <v>84</v>
      </c>
      <c r="C349">
        <f>C348*0.18</f>
        <v>360000</v>
      </c>
      <c r="F349" s="46">
        <v>43646</v>
      </c>
    </row>
    <row r="350" spans="1:6" x14ac:dyDescent="0.35">
      <c r="A350" s="15" t="s">
        <v>86</v>
      </c>
      <c r="C350">
        <f>SUM(C348:C349)</f>
        <v>2360000</v>
      </c>
      <c r="F350">
        <f>F320-F349</f>
        <v>565</v>
      </c>
    </row>
    <row r="351" spans="1:6" x14ac:dyDescent="0.35">
      <c r="A351" s="15" t="s">
        <v>107</v>
      </c>
      <c r="C351" s="14">
        <f>C350*0.18</f>
        <v>424800</v>
      </c>
    </row>
    <row r="352" spans="1:6" x14ac:dyDescent="0.35">
      <c r="A352" s="15" t="s">
        <v>108</v>
      </c>
      <c r="C352" s="11">
        <f>SUM(C350:C351)</f>
        <v>2784800</v>
      </c>
    </row>
    <row r="353" spans="1:2" x14ac:dyDescent="0.35">
      <c r="A353" s="15" t="s">
        <v>104</v>
      </c>
    </row>
    <row r="356" spans="1:2" x14ac:dyDescent="0.35">
      <c r="A356" s="543" t="s">
        <v>23</v>
      </c>
      <c r="B356" s="543"/>
    </row>
    <row r="357" spans="1:2" x14ac:dyDescent="0.35">
      <c r="A357" s="566" t="s">
        <v>65</v>
      </c>
      <c r="B357" s="566"/>
    </row>
    <row r="358" spans="1:2" x14ac:dyDescent="0.35">
      <c r="A358" s="12" t="s">
        <v>67</v>
      </c>
      <c r="B358" s="7">
        <v>939078</v>
      </c>
    </row>
    <row r="359" spans="1:2" x14ac:dyDescent="0.35">
      <c r="A359" s="15" t="s">
        <v>68</v>
      </c>
      <c r="B359" s="5">
        <f>B358*0.18</f>
        <v>169034.04</v>
      </c>
    </row>
    <row r="360" spans="1:2" x14ac:dyDescent="0.35">
      <c r="A360" s="15" t="s">
        <v>69</v>
      </c>
      <c r="B360" s="5">
        <f>SUM(B358:B359)</f>
        <v>1108112.04</v>
      </c>
    </row>
    <row r="361" spans="1:2" x14ac:dyDescent="0.35">
      <c r="A361" s="15" t="s">
        <v>70</v>
      </c>
      <c r="B361" s="23">
        <f>B360*0.18*19/365</f>
        <v>10382.858018630137</v>
      </c>
    </row>
    <row r="362" spans="1:2" x14ac:dyDescent="0.35">
      <c r="A362" s="15" t="s">
        <v>71</v>
      </c>
      <c r="B362" s="8">
        <f>SUM(B360:B361)</f>
        <v>1118494.8980186302</v>
      </c>
    </row>
    <row r="363" spans="1:2" x14ac:dyDescent="0.35">
      <c r="A363" s="15"/>
      <c r="B363" s="1"/>
    </row>
    <row r="364" spans="1:2" x14ac:dyDescent="0.35">
      <c r="A364" s="15"/>
      <c r="B364" s="1"/>
    </row>
    <row r="365" spans="1:2" x14ac:dyDescent="0.35">
      <c r="A365" s="15" t="s">
        <v>72</v>
      </c>
      <c r="B365" s="1"/>
    </row>
    <row r="366" spans="1:2" x14ac:dyDescent="0.35">
      <c r="A366" s="15" t="s">
        <v>73</v>
      </c>
      <c r="B366" s="1">
        <v>250000</v>
      </c>
    </row>
    <row r="367" spans="1:2" x14ac:dyDescent="0.35">
      <c r="A367" s="15" t="s">
        <v>70</v>
      </c>
      <c r="B367" s="23">
        <f>B366*0.18*356/365</f>
        <v>43890.410958904111</v>
      </c>
    </row>
    <row r="368" spans="1:2" x14ac:dyDescent="0.35">
      <c r="A368" s="15" t="s">
        <v>74</v>
      </c>
      <c r="B368" s="8">
        <f>SUM(B366:B367)</f>
        <v>293890.41095890413</v>
      </c>
    </row>
    <row r="369" spans="1:4" x14ac:dyDescent="0.35">
      <c r="A369" s="15"/>
      <c r="B369" s="1"/>
    </row>
    <row r="370" spans="1:4" ht="15.5" x14ac:dyDescent="0.35">
      <c r="A370" s="71" t="s">
        <v>75</v>
      </c>
      <c r="B370" s="70">
        <f>B362-B368</f>
        <v>824604.48705972615</v>
      </c>
    </row>
    <row r="371" spans="1:4" x14ac:dyDescent="0.35">
      <c r="B371"/>
    </row>
    <row r="372" spans="1:4" x14ac:dyDescent="0.35">
      <c r="B372"/>
    </row>
    <row r="373" spans="1:4" x14ac:dyDescent="0.35">
      <c r="A373" s="15" t="s">
        <v>85</v>
      </c>
      <c r="B373" s="1">
        <v>2000000</v>
      </c>
    </row>
    <row r="374" spans="1:4" x14ac:dyDescent="0.35">
      <c r="A374" s="15" t="s">
        <v>84</v>
      </c>
      <c r="B374" s="1">
        <f>B373*0.18</f>
        <v>360000</v>
      </c>
    </row>
    <row r="375" spans="1:4" x14ac:dyDescent="0.35">
      <c r="A375" s="12" t="s">
        <v>86</v>
      </c>
      <c r="B375" s="7">
        <f>SUM(B373:B374)</f>
        <v>2360000</v>
      </c>
    </row>
    <row r="376" spans="1:4" x14ac:dyDescent="0.35">
      <c r="A376" s="15" t="s">
        <v>70</v>
      </c>
      <c r="B376" s="5">
        <f>B375*0.18*275/365</f>
        <v>320054.79452054796</v>
      </c>
    </row>
    <row r="377" spans="1:4" ht="15.5" x14ac:dyDescent="0.35">
      <c r="A377" s="71" t="s">
        <v>87</v>
      </c>
      <c r="B377" s="70">
        <f>SUM(B375:B376)</f>
        <v>2680054.7945205481</v>
      </c>
    </row>
    <row r="379" spans="1:4" ht="15.5" x14ac:dyDescent="0.35">
      <c r="A379" s="71" t="s">
        <v>88</v>
      </c>
      <c r="B379" s="70">
        <f>+B370+B377</f>
        <v>3504659.281580274</v>
      </c>
    </row>
    <row r="381" spans="1:4" x14ac:dyDescent="0.35">
      <c r="A381" s="566" t="s">
        <v>23</v>
      </c>
      <c r="B381" s="566"/>
    </row>
    <row r="382" spans="1:4" x14ac:dyDescent="0.35">
      <c r="A382" s="566" t="s">
        <v>65</v>
      </c>
      <c r="B382" s="566"/>
    </row>
    <row r="383" spans="1:4" x14ac:dyDescent="0.35">
      <c r="A383" s="15"/>
      <c r="B383" s="68"/>
    </row>
    <row r="384" spans="1:4" x14ac:dyDescent="0.35">
      <c r="A384" s="98" t="s">
        <v>67</v>
      </c>
      <c r="B384" s="99">
        <v>939078</v>
      </c>
      <c r="D384" s="46"/>
    </row>
    <row r="385" spans="1:9" x14ac:dyDescent="0.35">
      <c r="A385" s="15" t="s">
        <v>68</v>
      </c>
      <c r="B385" s="5">
        <f>B384*0.18</f>
        <v>169034.04</v>
      </c>
    </row>
    <row r="386" spans="1:9" x14ac:dyDescent="0.35">
      <c r="A386" s="15" t="s">
        <v>69</v>
      </c>
      <c r="B386" s="5">
        <f>SUM(B384:B385)</f>
        <v>1108112.04</v>
      </c>
      <c r="D386" s="46">
        <v>43902</v>
      </c>
    </row>
    <row r="387" spans="1:9" x14ac:dyDescent="0.35">
      <c r="A387" s="15" t="s">
        <v>118</v>
      </c>
      <c r="B387" s="23">
        <f>B386*0.18*346/365</f>
        <v>189077.30918136987</v>
      </c>
      <c r="D387" s="46">
        <v>44248</v>
      </c>
    </row>
    <row r="388" spans="1:9" x14ac:dyDescent="0.35">
      <c r="A388" s="15" t="s">
        <v>119</v>
      </c>
      <c r="B388" s="8">
        <f>SUM(B386:B387)</f>
        <v>1297189.3491813699</v>
      </c>
      <c r="D388">
        <f>D387-D386</f>
        <v>346</v>
      </c>
    </row>
    <row r="389" spans="1:9" x14ac:dyDescent="0.35">
      <c r="A389" s="15"/>
      <c r="B389" s="1"/>
    </row>
    <row r="390" spans="1:9" x14ac:dyDescent="0.35">
      <c r="A390" s="96" t="s">
        <v>85</v>
      </c>
      <c r="B390" s="97">
        <v>2000000</v>
      </c>
      <c r="I390">
        <v>27466</v>
      </c>
    </row>
    <row r="391" spans="1:9" x14ac:dyDescent="0.35">
      <c r="A391" s="15" t="s">
        <v>84</v>
      </c>
      <c r="B391" s="1">
        <f>B390*0.18</f>
        <v>360000</v>
      </c>
      <c r="I391">
        <f>B394*1.5%*7</f>
        <v>292404</v>
      </c>
    </row>
    <row r="392" spans="1:9" x14ac:dyDescent="0.35">
      <c r="A392" s="15" t="s">
        <v>86</v>
      </c>
      <c r="B392" s="1">
        <f>SUM(B390:B391)</f>
        <v>2360000</v>
      </c>
      <c r="E392" s="46">
        <v>44012</v>
      </c>
    </row>
    <row r="393" spans="1:9" x14ac:dyDescent="0.35">
      <c r="A393" s="15" t="s">
        <v>107</v>
      </c>
      <c r="B393" s="5">
        <f>B392*0.18</f>
        <v>424800</v>
      </c>
    </row>
    <row r="394" spans="1:9" x14ac:dyDescent="0.35">
      <c r="A394" s="15" t="s">
        <v>108</v>
      </c>
      <c r="B394" s="8">
        <f>SUM(B392:B393)</f>
        <v>2784800</v>
      </c>
      <c r="E394" s="46">
        <v>44247</v>
      </c>
    </row>
    <row r="395" spans="1:9" x14ac:dyDescent="0.35">
      <c r="A395" s="15" t="s">
        <v>118</v>
      </c>
      <c r="B395" s="23">
        <f>B394*0.18*236/365</f>
        <v>324104.94246575341</v>
      </c>
    </row>
    <row r="396" spans="1:9" x14ac:dyDescent="0.35">
      <c r="A396" s="15" t="s">
        <v>120</v>
      </c>
      <c r="B396" s="44">
        <f>SUM(B394:B395)</f>
        <v>3108904.9424657533</v>
      </c>
      <c r="C396">
        <v>1115000</v>
      </c>
      <c r="E396">
        <f>E394-E392</f>
        <v>235</v>
      </c>
      <c r="H396">
        <f>E396/30</f>
        <v>7.833333333333333</v>
      </c>
    </row>
    <row r="397" spans="1:9" x14ac:dyDescent="0.35">
      <c r="A397" s="15"/>
      <c r="B397" s="23"/>
      <c r="C397" s="14">
        <f>B396-C396</f>
        <v>1993904.9424657533</v>
      </c>
    </row>
    <row r="398" spans="1:9" x14ac:dyDescent="0.35">
      <c r="A398" s="71" t="s">
        <v>111</v>
      </c>
      <c r="B398" s="95">
        <f>+B396+B388</f>
        <v>4406094.2916471232</v>
      </c>
    </row>
    <row r="399" spans="1:9" x14ac:dyDescent="0.35">
      <c r="A399" s="15"/>
      <c r="B399" s="1"/>
    </row>
    <row r="400" spans="1:9" x14ac:dyDescent="0.35">
      <c r="A400" s="15"/>
      <c r="B400" s="1"/>
    </row>
    <row r="401" spans="1:6" x14ac:dyDescent="0.35">
      <c r="A401" s="15" t="s">
        <v>72</v>
      </c>
      <c r="B401" s="1"/>
    </row>
    <row r="402" spans="1:6" x14ac:dyDescent="0.35">
      <c r="A402" s="96" t="s">
        <v>73</v>
      </c>
      <c r="B402" s="97">
        <v>250000</v>
      </c>
    </row>
    <row r="403" spans="1:6" x14ac:dyDescent="0.35">
      <c r="A403" s="15" t="s">
        <v>105</v>
      </c>
      <c r="B403" s="23">
        <f>B402*0.18</f>
        <v>45000</v>
      </c>
    </row>
    <row r="404" spans="1:6" x14ac:dyDescent="0.35">
      <c r="A404" s="15" t="s">
        <v>106</v>
      </c>
      <c r="B404" s="23">
        <f>SUM(B402:B403)</f>
        <v>295000</v>
      </c>
      <c r="D404" s="46">
        <v>43931</v>
      </c>
    </row>
    <row r="405" spans="1:6" x14ac:dyDescent="0.35">
      <c r="A405" s="15" t="s">
        <v>118</v>
      </c>
      <c r="B405" s="23">
        <f>B404*0.18*317/365</f>
        <v>46116.986301369863</v>
      </c>
      <c r="D405" s="46">
        <v>44247</v>
      </c>
    </row>
    <row r="406" spans="1:6" x14ac:dyDescent="0.35">
      <c r="A406" s="15"/>
      <c r="B406" s="23"/>
      <c r="D406">
        <f>D405-D404</f>
        <v>316</v>
      </c>
    </row>
    <row r="407" spans="1:6" x14ac:dyDescent="0.35">
      <c r="A407" s="96" t="s">
        <v>109</v>
      </c>
      <c r="B407" s="97">
        <v>1000000</v>
      </c>
    </row>
    <row r="408" spans="1:6" x14ac:dyDescent="0.35">
      <c r="A408" s="15" t="s">
        <v>118</v>
      </c>
      <c r="B408" s="23">
        <f>B407*0.18*236/365</f>
        <v>116383.56164383562</v>
      </c>
    </row>
    <row r="409" spans="1:6" x14ac:dyDescent="0.35">
      <c r="A409" s="15"/>
      <c r="B409" s="23"/>
    </row>
    <row r="410" spans="1:6" x14ac:dyDescent="0.35">
      <c r="A410" s="65" t="s">
        <v>74</v>
      </c>
      <c r="B410" s="95">
        <f>SUM(B404:B408)</f>
        <v>1457500.5479452056</v>
      </c>
    </row>
    <row r="411" spans="1:6" x14ac:dyDescent="0.35">
      <c r="A411" s="15"/>
      <c r="B411" s="1"/>
    </row>
    <row r="412" spans="1:6" ht="15.5" x14ac:dyDescent="0.35">
      <c r="A412" s="71" t="s">
        <v>117</v>
      </c>
      <c r="B412" s="69">
        <f>+B398-B410</f>
        <v>2948593.7437019176</v>
      </c>
    </row>
    <row r="414" spans="1:6" x14ac:dyDescent="0.35">
      <c r="B414" s="20">
        <v>2952445</v>
      </c>
      <c r="D414" s="46">
        <v>44013</v>
      </c>
    </row>
    <row r="415" spans="1:6" x14ac:dyDescent="0.35">
      <c r="D415" s="46">
        <v>44247</v>
      </c>
    </row>
    <row r="416" spans="1:6" x14ac:dyDescent="0.35">
      <c r="B416" s="92">
        <f>B414-B412</f>
        <v>3851.256298082415</v>
      </c>
      <c r="D416">
        <f>D415-D414</f>
        <v>234</v>
      </c>
      <c r="F416">
        <f>D416/30</f>
        <v>7.8</v>
      </c>
    </row>
    <row r="418" spans="4:4" x14ac:dyDescent="0.35">
      <c r="D418">
        <f>B414*D416/365*18%</f>
        <v>340704.06410958903</v>
      </c>
    </row>
  </sheetData>
  <mergeCells count="35">
    <mergeCell ref="A315:C315"/>
    <mergeCell ref="A356:B356"/>
    <mergeCell ref="A357:B357"/>
    <mergeCell ref="A381:B381"/>
    <mergeCell ref="A382:B382"/>
    <mergeCell ref="A254:H254"/>
    <mergeCell ref="A255:H255"/>
    <mergeCell ref="A299:F299"/>
    <mergeCell ref="A300:F300"/>
    <mergeCell ref="A314:C314"/>
    <mergeCell ref="A228:B228"/>
    <mergeCell ref="A229:B229"/>
    <mergeCell ref="A139:F139"/>
    <mergeCell ref="A2:H2"/>
    <mergeCell ref="K2:R2"/>
    <mergeCell ref="A19:F19"/>
    <mergeCell ref="K17:P17"/>
    <mergeCell ref="A29:F29"/>
    <mergeCell ref="A30:F30"/>
    <mergeCell ref="K25:P25"/>
    <mergeCell ref="A65:H65"/>
    <mergeCell ref="A80:F80"/>
    <mergeCell ref="A87:F87"/>
    <mergeCell ref="A107:H107"/>
    <mergeCell ref="A125:F125"/>
    <mergeCell ref="A155:H155"/>
    <mergeCell ref="J107:Q107"/>
    <mergeCell ref="A203:C203"/>
    <mergeCell ref="A202:C202"/>
    <mergeCell ref="A140:F140"/>
    <mergeCell ref="B145:C145"/>
    <mergeCell ref="A156:H156"/>
    <mergeCell ref="A174:F174"/>
    <mergeCell ref="A188:F188"/>
    <mergeCell ref="A189:F189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Madan Dhayal</vt:lpstr>
      <vt:lpstr>SHRI RAM LAMBA</vt:lpstr>
      <vt:lpstr>Rajesh ji Dukiya</vt:lpstr>
      <vt:lpstr>SURJA RAM DUKIYA</vt:lpstr>
      <vt:lpstr>Sheet7</vt:lpstr>
      <vt:lpstr>Bajrang Khati</vt:lpstr>
      <vt:lpstr>Pappu Morad</vt:lpstr>
      <vt:lpstr>Prakash Ji Somani</vt:lpstr>
      <vt:lpstr>Madan Dhayal (2)</vt:lpstr>
      <vt:lpstr>Mahipal Dukiya</vt:lpstr>
      <vt:lpstr>Subhash K</vt:lpstr>
      <vt:lpstr>Asuram Kirdoliya</vt:lpstr>
      <vt:lpstr>Jhabar</vt:lpstr>
      <vt:lpstr>Ankit</vt:lpstr>
      <vt:lpstr>Sukharam &amp; Others</vt:lpstr>
      <vt:lpstr>KULDEEP</vt:lpstr>
      <vt:lpstr>Sheet1</vt:lpstr>
      <vt:lpstr>Sheet2</vt:lpstr>
      <vt:lpstr>'Madan Dhayal (2)'!Print_Area</vt:lpstr>
      <vt:lpstr>'Mahipal Dukiya'!Print_Area</vt:lpstr>
      <vt:lpstr>'Prakash Ji Somani'!Print_Area</vt:lpstr>
      <vt:lpstr>'Rajesh ji Dukiya'!Print_Area</vt:lpstr>
      <vt:lpstr>Sheet1!Print_Area</vt:lpstr>
      <vt:lpstr>'SHRI RAM LAMBA'!Print_Area</vt:lpstr>
      <vt:lpstr>'Subhash K'!Print_Area</vt:lpstr>
      <vt:lpstr>'SURJA RAM DUKIYA'!Print_Area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2026-05-06T05:42:13Z</dcterms:modified>
</cp:coreProperties>
</file>