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3D1E73E-53EB-4B44-A41F-157EC4EFBC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F" sheetId="3" r:id="rId1"/>
    <sheet name="Sheet1" sheetId="5" r:id="rId2"/>
    <sheet name="Triven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5" i="3" l="1"/>
  <c r="Q374" i="3"/>
  <c r="L375" i="3"/>
  <c r="L374" i="3"/>
  <c r="L373" i="3"/>
  <c r="N373" i="3" s="1"/>
  <c r="Q373" i="3" s="1"/>
  <c r="L367" i="3"/>
  <c r="N367" i="3" s="1"/>
  <c r="Q367" i="3" s="1"/>
  <c r="L368" i="3"/>
  <c r="N368" i="3" s="1"/>
  <c r="Q368" i="3" s="1"/>
  <c r="L369" i="3"/>
  <c r="N369" i="3" s="1"/>
  <c r="Q369" i="3" s="1"/>
  <c r="L370" i="3"/>
  <c r="N370" i="3" s="1"/>
  <c r="Q370" i="3" s="1"/>
  <c r="L371" i="3"/>
  <c r="N371" i="3" s="1"/>
  <c r="Q371" i="3" s="1"/>
  <c r="L372" i="3"/>
  <c r="N372" i="3" s="1"/>
  <c r="Q372" i="3" s="1"/>
  <c r="O385" i="3" l="1"/>
  <c r="L366" i="3"/>
  <c r="N366" i="3" s="1"/>
  <c r="Q366" i="3" s="1"/>
  <c r="L365" i="3"/>
  <c r="N365" i="3" s="1"/>
  <c r="Q365" i="3" s="1"/>
  <c r="L364" i="3"/>
  <c r="N364" i="3" s="1"/>
  <c r="Q364" i="3" s="1"/>
  <c r="L363" i="3"/>
  <c r="N363" i="3" s="1"/>
  <c r="Q363" i="3" s="1"/>
  <c r="E367" i="3"/>
  <c r="E338" i="3"/>
  <c r="E351" i="3"/>
  <c r="E312" i="3"/>
  <c r="E299" i="3"/>
  <c r="E301" i="3"/>
  <c r="E309" i="3"/>
  <c r="E297" i="3"/>
  <c r="Q385" i="3" l="1"/>
  <c r="E380" i="3" s="1"/>
  <c r="E295" i="3"/>
  <c r="E293" i="3"/>
  <c r="L245" i="3"/>
  <c r="N245" i="3" s="1"/>
  <c r="Q245" i="3" s="1"/>
  <c r="E261" i="3"/>
  <c r="L244" i="3"/>
  <c r="N244" i="3" s="1"/>
  <c r="Q244" i="3" s="1"/>
  <c r="L243" i="3"/>
  <c r="N243" i="3" s="1"/>
  <c r="Q243" i="3" s="1"/>
  <c r="L242" i="3"/>
  <c r="N242" i="3" s="1"/>
  <c r="Q242" i="3" s="1"/>
  <c r="L238" i="3" l="1"/>
  <c r="N238" i="3" s="1"/>
  <c r="Q238" i="3" s="1"/>
  <c r="L239" i="3"/>
  <c r="N239" i="3" s="1"/>
  <c r="Q239" i="3" s="1"/>
  <c r="L240" i="3"/>
  <c r="N240" i="3" s="1"/>
  <c r="Q240" i="3" s="1"/>
  <c r="L241" i="3"/>
  <c r="N241" i="3" s="1"/>
  <c r="Q241" i="3" s="1"/>
  <c r="L231" i="3" l="1"/>
  <c r="N231" i="3" s="1"/>
  <c r="Q231" i="3" s="1"/>
  <c r="E206" i="3"/>
  <c r="E194" i="3" l="1"/>
  <c r="E254" i="3"/>
  <c r="E208" i="3" l="1"/>
  <c r="E211" i="3" s="1"/>
  <c r="L229" i="3"/>
  <c r="N229" i="3" s="1"/>
  <c r="L233" i="3"/>
  <c r="N233" i="3" s="1"/>
  <c r="Q233" i="3" s="1"/>
  <c r="L234" i="3"/>
  <c r="N234" i="3" s="1"/>
  <c r="Q234" i="3" s="1"/>
  <c r="L235" i="3"/>
  <c r="N235" i="3" s="1"/>
  <c r="Q235" i="3" s="1"/>
  <c r="L230" i="3"/>
  <c r="N230" i="3" s="1"/>
  <c r="Q230" i="3" s="1"/>
  <c r="L236" i="3"/>
  <c r="N236" i="3" s="1"/>
  <c r="Q236" i="3" s="1"/>
  <c r="L237" i="3"/>
  <c r="N237" i="3" s="1"/>
  <c r="Q237" i="3" s="1"/>
  <c r="L228" i="3" l="1"/>
  <c r="N228" i="3" s="1"/>
  <c r="O266" i="3"/>
  <c r="L225" i="3"/>
  <c r="N225" i="3" s="1"/>
  <c r="L224" i="3"/>
  <c r="N224" i="3" s="1"/>
  <c r="Q229" i="3"/>
  <c r="L232" i="3"/>
  <c r="N232" i="3" s="1"/>
  <c r="L226" i="3"/>
  <c r="N226" i="3" s="1"/>
  <c r="L227" i="3"/>
  <c r="N227" i="3" s="1"/>
  <c r="E236" i="3"/>
  <c r="E229" i="3"/>
  <c r="Q224" i="3" l="1"/>
  <c r="Q226" i="3"/>
  <c r="Q232" i="3"/>
  <c r="Q228" i="3"/>
  <c r="Q227" i="3"/>
  <c r="Q225" i="3"/>
  <c r="L155" i="3"/>
  <c r="N155" i="3" s="1"/>
  <c r="Q155" i="3" s="1"/>
  <c r="L154" i="3"/>
  <c r="N154" i="3" s="1"/>
  <c r="Q154" i="3" s="1"/>
  <c r="L153" i="3"/>
  <c r="N153" i="3" s="1"/>
  <c r="Q153" i="3" s="1"/>
  <c r="L152" i="3"/>
  <c r="N152" i="3" s="1"/>
  <c r="Q152" i="3" s="1"/>
  <c r="Q266" i="3" l="1"/>
  <c r="E257" i="3" s="1"/>
  <c r="L149" i="3"/>
  <c r="N149" i="3" s="1"/>
  <c r="Q149" i="3" s="1"/>
  <c r="L150" i="3"/>
  <c r="N150" i="3" s="1"/>
  <c r="Q150" i="3" s="1"/>
  <c r="L151" i="3"/>
  <c r="N151" i="3" s="1"/>
  <c r="Q151" i="3" s="1"/>
  <c r="F63" i="4"/>
  <c r="G63" i="4" s="1"/>
  <c r="F62" i="4"/>
  <c r="G62" i="4" s="1"/>
  <c r="D89" i="4"/>
  <c r="F84" i="4"/>
  <c r="G84" i="4" s="1"/>
  <c r="F81" i="4"/>
  <c r="G81" i="4" s="1"/>
  <c r="F86" i="4"/>
  <c r="G86" i="4" s="1"/>
  <c r="F85" i="4"/>
  <c r="G85" i="4" s="1"/>
  <c r="F83" i="4"/>
  <c r="G83" i="4" s="1"/>
  <c r="F82" i="4"/>
  <c r="G82" i="4" s="1"/>
  <c r="F80" i="4"/>
  <c r="G80" i="4" s="1"/>
  <c r="F79" i="4"/>
  <c r="E266" i="3" l="1"/>
  <c r="E280" i="3" s="1"/>
  <c r="E286" i="3" s="1"/>
  <c r="E307" i="3" s="1"/>
  <c r="E315" i="3" s="1"/>
  <c r="F89" i="4"/>
  <c r="D90" i="4" s="1"/>
  <c r="D93" i="4" s="1"/>
  <c r="G79" i="4"/>
  <c r="G89" i="4" s="1"/>
  <c r="L147" i="3"/>
  <c r="N147" i="3" s="1"/>
  <c r="Q147" i="3" s="1"/>
  <c r="L148" i="3"/>
  <c r="N148" i="3" s="1"/>
  <c r="Q148" i="3" s="1"/>
  <c r="E154" i="3" l="1"/>
  <c r="E148" i="3"/>
  <c r="E180" i="3"/>
  <c r="E143" i="3"/>
  <c r="E123" i="3"/>
  <c r="E121" i="3"/>
  <c r="L146" i="3"/>
  <c r="N146" i="3" s="1"/>
  <c r="Q146" i="3" s="1"/>
  <c r="O159" i="3"/>
  <c r="L145" i="3"/>
  <c r="N145" i="3" s="1"/>
  <c r="Q145" i="3" s="1"/>
  <c r="L144" i="3"/>
  <c r="N144" i="3" s="1"/>
  <c r="Q144" i="3" s="1"/>
  <c r="L143" i="3"/>
  <c r="N143" i="3" s="1"/>
  <c r="Q143" i="3" s="1"/>
  <c r="L142" i="3"/>
  <c r="N142" i="3" s="1"/>
  <c r="Q142" i="3" s="1"/>
  <c r="Q159" i="3" l="1"/>
  <c r="E115" i="3"/>
  <c r="E129" i="3" l="1"/>
  <c r="E134" i="3" s="1"/>
  <c r="E173" i="3"/>
  <c r="E178" i="3" s="1"/>
  <c r="E188" i="3" s="1"/>
  <c r="F64" i="4"/>
  <c r="G64" i="4" s="1"/>
  <c r="F61" i="4"/>
  <c r="G61" i="4" s="1"/>
  <c r="F60" i="4"/>
  <c r="G60" i="4" s="1"/>
  <c r="E85" i="3" l="1"/>
  <c r="D66" i="4"/>
  <c r="F59" i="4"/>
  <c r="G59" i="4" s="1"/>
  <c r="F58" i="4"/>
  <c r="G58" i="4" s="1"/>
  <c r="F57" i="4"/>
  <c r="G57" i="4" s="1"/>
  <c r="F56" i="4"/>
  <c r="G56" i="4" s="1"/>
  <c r="D39" i="4"/>
  <c r="I29" i="4"/>
  <c r="G29" i="4"/>
  <c r="H29" i="4" s="1"/>
  <c r="I28" i="4"/>
  <c r="G28" i="4"/>
  <c r="H28" i="4" s="1"/>
  <c r="I27" i="4"/>
  <c r="G27" i="4"/>
  <c r="H27" i="4" s="1"/>
  <c r="I26" i="4"/>
  <c r="G26" i="4"/>
  <c r="H26" i="4" s="1"/>
  <c r="I25" i="4"/>
  <c r="G25" i="4"/>
  <c r="H25" i="4" s="1"/>
  <c r="I24" i="4"/>
  <c r="G24" i="4"/>
  <c r="H24" i="4" s="1"/>
  <c r="I23" i="4"/>
  <c r="G23" i="4"/>
  <c r="H23" i="4" s="1"/>
  <c r="I22" i="4"/>
  <c r="G22" i="4"/>
  <c r="H22" i="4" s="1"/>
  <c r="I21" i="4"/>
  <c r="G21" i="4"/>
  <c r="H21" i="4" s="1"/>
  <c r="I20" i="4"/>
  <c r="G20" i="4"/>
  <c r="H20" i="4" s="1"/>
  <c r="I19" i="4"/>
  <c r="G19" i="4"/>
  <c r="H19" i="4" s="1"/>
  <c r="I18" i="4"/>
  <c r="G18" i="4"/>
  <c r="H18" i="4" s="1"/>
  <c r="J18" i="4" s="1"/>
  <c r="I17" i="4"/>
  <c r="G17" i="4"/>
  <c r="H17" i="4" s="1"/>
  <c r="I16" i="4"/>
  <c r="G16" i="4"/>
  <c r="H16" i="4" s="1"/>
  <c r="I15" i="4"/>
  <c r="G15" i="4"/>
  <c r="H15" i="4" s="1"/>
  <c r="I14" i="4"/>
  <c r="G14" i="4"/>
  <c r="H14" i="4" s="1"/>
  <c r="I13" i="4"/>
  <c r="G13" i="4"/>
  <c r="H13" i="4" s="1"/>
  <c r="I12" i="4"/>
  <c r="G12" i="4"/>
  <c r="H12" i="4" s="1"/>
  <c r="J12" i="4" s="1"/>
  <c r="I11" i="4"/>
  <c r="G11" i="4"/>
  <c r="H11" i="4" s="1"/>
  <c r="I10" i="4"/>
  <c r="G10" i="4"/>
  <c r="H10" i="4" s="1"/>
  <c r="I9" i="4"/>
  <c r="G9" i="4"/>
  <c r="H9" i="4" s="1"/>
  <c r="I8" i="4"/>
  <c r="G8" i="4"/>
  <c r="H8" i="4" s="1"/>
  <c r="I7" i="4"/>
  <c r="G7" i="4"/>
  <c r="H7" i="4" s="1"/>
  <c r="I6" i="4"/>
  <c r="G6" i="4"/>
  <c r="H6" i="4" s="1"/>
  <c r="J6" i="4" s="1"/>
  <c r="I5" i="4"/>
  <c r="G5" i="4"/>
  <c r="H5" i="4" s="1"/>
  <c r="I4" i="4"/>
  <c r="G4" i="4"/>
  <c r="H4" i="4" s="1"/>
  <c r="I3" i="4"/>
  <c r="G3" i="4"/>
  <c r="H3" i="4" s="1"/>
  <c r="J4" i="4" l="1"/>
  <c r="J10" i="4"/>
  <c r="J16" i="4"/>
  <c r="J22" i="4"/>
  <c r="J9" i="4"/>
  <c r="J15" i="4"/>
  <c r="J21" i="4"/>
  <c r="J7" i="4"/>
  <c r="J13" i="4"/>
  <c r="J19" i="4"/>
  <c r="J25" i="4"/>
  <c r="J24" i="4"/>
  <c r="J27" i="4"/>
  <c r="J8" i="4"/>
  <c r="J14" i="4"/>
  <c r="J20" i="4"/>
  <c r="J26" i="4"/>
  <c r="G66" i="4"/>
  <c r="I89" i="4" s="1"/>
  <c r="J28" i="4"/>
  <c r="I39" i="4"/>
  <c r="J5" i="4"/>
  <c r="J11" i="4"/>
  <c r="J17" i="4"/>
  <c r="J23" i="4"/>
  <c r="J29" i="4"/>
  <c r="J3" i="4"/>
  <c r="H39" i="4"/>
  <c r="G39" i="4"/>
  <c r="F66" i="4"/>
  <c r="D67" i="4" s="1"/>
  <c r="D75" i="4" s="1"/>
  <c r="J39" i="4" l="1"/>
  <c r="J41" i="4" s="1"/>
  <c r="J40" i="4" l="1"/>
  <c r="E98" i="3"/>
  <c r="G95" i="3"/>
  <c r="G94" i="3"/>
  <c r="E62" i="3"/>
  <c r="E67" i="3" s="1"/>
  <c r="L66" i="3"/>
  <c r="N66" i="3" s="1"/>
  <c r="Q66" i="3" s="1"/>
  <c r="F98" i="3" l="1"/>
  <c r="G96" i="3"/>
  <c r="G98" i="3" s="1"/>
  <c r="G99" i="3" s="1"/>
  <c r="G101" i="3" s="1"/>
  <c r="G106" i="3" s="1"/>
  <c r="L69" i="3"/>
  <c r="N69" i="3" s="1"/>
  <c r="Q69" i="3" s="1"/>
  <c r="L68" i="3"/>
  <c r="N68" i="3" s="1"/>
  <c r="Q68" i="3" s="1"/>
  <c r="L67" i="3"/>
  <c r="N67" i="3" s="1"/>
  <c r="Q67" i="3" s="1"/>
  <c r="L65" i="3"/>
  <c r="N65" i="3" s="1"/>
  <c r="Q65" i="3" s="1"/>
  <c r="L64" i="3"/>
  <c r="N64" i="3" s="1"/>
  <c r="Q64" i="3" s="1"/>
  <c r="L63" i="3"/>
  <c r="N63" i="3" s="1"/>
  <c r="Q63" i="3" s="1"/>
  <c r="O75" i="3"/>
  <c r="L62" i="3"/>
  <c r="N62" i="3" s="1"/>
  <c r="Q62" i="3" s="1"/>
  <c r="Q75" i="3" l="1"/>
  <c r="E57" i="3" s="1"/>
  <c r="E60" i="3" s="1"/>
  <c r="E23" i="3"/>
  <c r="E69" i="3" l="1"/>
  <c r="E86" i="3" s="1"/>
  <c r="E89" i="3" s="1"/>
  <c r="E26" i="3" l="1"/>
  <c r="E29" i="3" s="1"/>
  <c r="E348" i="3" l="1"/>
  <c r="E355" i="3" s="1"/>
  <c r="E363" i="3" s="1"/>
  <c r="E384" i="3" s="1"/>
  <c r="E390" i="3" s="1"/>
</calcChain>
</file>

<file path=xl/sharedStrings.xml><?xml version="1.0" encoding="utf-8"?>
<sst xmlns="http://schemas.openxmlformats.org/spreadsheetml/2006/main" count="985" uniqueCount="359">
  <si>
    <t>Date</t>
  </si>
  <si>
    <t>Place</t>
  </si>
  <si>
    <t>18.08.2025</t>
  </si>
  <si>
    <t>Chandigarh</t>
  </si>
  <si>
    <t>Given to Dinesh Khichar for Paonta Site</t>
  </si>
  <si>
    <t>Amount</t>
  </si>
  <si>
    <t>14.08.2025</t>
  </si>
  <si>
    <t>Beed</t>
  </si>
  <si>
    <t>13.08.2025</t>
  </si>
  <si>
    <t>Dehradun</t>
  </si>
  <si>
    <t>06.08.2025</t>
  </si>
  <si>
    <t>Mumbai</t>
  </si>
  <si>
    <t>Beed Site</t>
  </si>
  <si>
    <t>Aizawl</t>
  </si>
  <si>
    <t>Jaipur</t>
  </si>
  <si>
    <t>Delhi</t>
  </si>
  <si>
    <t>14.07.2025</t>
  </si>
  <si>
    <t>15.07.2025</t>
  </si>
  <si>
    <t>Bhopal</t>
  </si>
  <si>
    <t>18.06.2025</t>
  </si>
  <si>
    <t>23.06.2025</t>
  </si>
  <si>
    <t>30.06.2025</t>
  </si>
  <si>
    <t>Total</t>
  </si>
  <si>
    <t>Total Receipts</t>
  </si>
  <si>
    <t>Particulars</t>
  </si>
  <si>
    <t>TRF &amp; Home Delivery Charges (Jaipur to Chandigarh)</t>
  </si>
  <si>
    <t>TRF Charges (Jaipur to Dehradun)</t>
  </si>
  <si>
    <t>TRF Charges (Jaipur to Beed)</t>
  </si>
  <si>
    <t>TRF Charges (Jaipur to Chandigarh)</t>
  </si>
  <si>
    <t>TRF Charges (Silchar to Jaipur)</t>
  </si>
  <si>
    <t>Total Amount</t>
  </si>
  <si>
    <t>TRF Hisab</t>
  </si>
  <si>
    <t>Given at Jagatpura</t>
  </si>
  <si>
    <t>Given to Dinesh Khichar for Paonta Site (PD Office)</t>
  </si>
  <si>
    <t>26.08.2025</t>
  </si>
  <si>
    <t>Prayagraj</t>
  </si>
  <si>
    <t>TRF Charges (Jaipur to Prayagraj)</t>
  </si>
  <si>
    <t>OIC - RK Anand</t>
  </si>
  <si>
    <t>Given at Prayagraj</t>
  </si>
  <si>
    <t>30.08.2025</t>
  </si>
  <si>
    <t>Given at Aizawl</t>
  </si>
  <si>
    <t>Aizawl Charges</t>
  </si>
  <si>
    <t>01.09.2025</t>
  </si>
  <si>
    <t>Less : Received on 01.09.2025</t>
  </si>
  <si>
    <t>Balance Amount</t>
  </si>
  <si>
    <t>04.09.2025</t>
  </si>
  <si>
    <t>05.09.2025</t>
  </si>
  <si>
    <t>Delhi - M Bagh</t>
  </si>
  <si>
    <t>Delhi Home Delivery &amp; TRF Charges</t>
  </si>
  <si>
    <t>TRF Charges on 30.95 Lacs@ 100 Per Day from 01.09 to 05.09.25</t>
  </si>
  <si>
    <t>Aizawl - Harwinder for DGM</t>
  </si>
  <si>
    <t>Less : Received on 08.09.2025</t>
  </si>
  <si>
    <t>09.09.2025</t>
  </si>
  <si>
    <t>Paonta Site (Given to Dinesh Khichar)</t>
  </si>
  <si>
    <t>Given to Om Ji at Jaipur</t>
  </si>
  <si>
    <t>22.09.2025</t>
  </si>
  <si>
    <t>Given to Delhi (VK)</t>
  </si>
  <si>
    <t>26.09.2025</t>
  </si>
  <si>
    <t>Given at Latur (Sanjay Ji)</t>
  </si>
  <si>
    <t>Latur</t>
  </si>
  <si>
    <t>From</t>
  </si>
  <si>
    <t>To</t>
  </si>
  <si>
    <t>Days</t>
  </si>
  <si>
    <t>Paonta</t>
  </si>
  <si>
    <t>Total Charges</t>
  </si>
  <si>
    <t>Grace Period</t>
  </si>
  <si>
    <t>Chargable Days</t>
  </si>
  <si>
    <t>Per Day Charge</t>
  </si>
  <si>
    <t>27.09.2025</t>
  </si>
  <si>
    <t>29.09.2025</t>
  </si>
  <si>
    <t>Given at Mumbai (Sanjay Ji)</t>
  </si>
  <si>
    <t>TRF Charges (Jaipur to Mumbai)</t>
  </si>
  <si>
    <t>Manglore</t>
  </si>
  <si>
    <t xml:space="preserve">Given to Token No. 10-30b 495770 Monu </t>
  </si>
  <si>
    <t>TRF &amp; Delivery Charges (Silchar to Delhi)</t>
  </si>
  <si>
    <t>TRF Charges (Jaipur to Latur)</t>
  </si>
  <si>
    <t>TRF Charges for 7 Days (Silchar to Dehradun)</t>
  </si>
  <si>
    <t>TRF Charges for 7 Days (Silchar to Jaipur)</t>
  </si>
  <si>
    <t>Paid at Jaipur</t>
  </si>
  <si>
    <t>All</t>
  </si>
  <si>
    <t>TRF Charges (Silchar to Manglore)</t>
  </si>
  <si>
    <t>Given at Manglore (Pai)</t>
  </si>
  <si>
    <t>30.09.2025</t>
  </si>
  <si>
    <t>03.10.2025</t>
  </si>
  <si>
    <t>Given at Delhi</t>
  </si>
  <si>
    <t>TRF &amp; Delivery Charges (Jaipur to Delhi)</t>
  </si>
  <si>
    <t>Given to Village (By BL Ji)</t>
  </si>
  <si>
    <t>TRF Charges</t>
  </si>
  <si>
    <t>01.10.2025</t>
  </si>
  <si>
    <t>Location</t>
  </si>
  <si>
    <t>TRF Hisab (P)</t>
  </si>
  <si>
    <t>06.10.2025</t>
  </si>
  <si>
    <t>Given at Mumbai (Ashish)</t>
  </si>
  <si>
    <t>Given to Bhopal</t>
  </si>
  <si>
    <t>07.10.2025</t>
  </si>
  <si>
    <t>08.10.2025</t>
  </si>
  <si>
    <t>Guwahati</t>
  </si>
  <si>
    <t>Payment Date</t>
  </si>
  <si>
    <t>Pump Name</t>
  </si>
  <si>
    <t>Bill Amount</t>
  </si>
  <si>
    <t>Interest</t>
  </si>
  <si>
    <t>Received Amount</t>
  </si>
  <si>
    <t>ESM Service Station</t>
  </si>
  <si>
    <t>Phuh Khyrai Filling Station</t>
  </si>
  <si>
    <t>Jirang Filling Station</t>
  </si>
  <si>
    <t>Less : Charges @ 3%</t>
  </si>
  <si>
    <t>Balance Receivable</t>
  </si>
  <si>
    <t>Paschimbanga Udyog</t>
  </si>
  <si>
    <t>Guwahati Charges for 50 (N TRF)</t>
  </si>
  <si>
    <t>ESM &amp; Phuhkyrhai</t>
  </si>
  <si>
    <t>Received on 10.10.2025</t>
  </si>
  <si>
    <t>Balance</t>
  </si>
  <si>
    <t>11.10.2025</t>
  </si>
  <si>
    <t>13.10.2025</t>
  </si>
  <si>
    <t>Given at Aurangabad (Sanjay Ji)</t>
  </si>
  <si>
    <t>TRF Charges- Jaipur to Aurangabad)</t>
  </si>
  <si>
    <t>Aurangabad</t>
  </si>
  <si>
    <t>14.10.2025</t>
  </si>
  <si>
    <t>Given at Bhuvneshwar</t>
  </si>
  <si>
    <t>TRF Charges - Jaipur to Bhuvneshwar</t>
  </si>
  <si>
    <t>BBSR</t>
  </si>
  <si>
    <t>Vendor Name</t>
  </si>
  <si>
    <t>Vendor %</t>
  </si>
  <si>
    <t>Co. %</t>
  </si>
  <si>
    <t>Charges</t>
  </si>
  <si>
    <t>Receivable Amount</t>
  </si>
  <si>
    <t>Co. Received Amount</t>
  </si>
  <si>
    <t>Our Part</t>
  </si>
  <si>
    <t>27.05.2025</t>
  </si>
  <si>
    <t>Triveni Motors</t>
  </si>
  <si>
    <t>03.06.2025</t>
  </si>
  <si>
    <t>Scaniya Lubricants</t>
  </si>
  <si>
    <t>08.07.2025</t>
  </si>
  <si>
    <t>Scania Lubricants</t>
  </si>
  <si>
    <t>Gopal</t>
  </si>
  <si>
    <t>Pawan</t>
  </si>
  <si>
    <t>%</t>
  </si>
  <si>
    <t>Payable</t>
  </si>
  <si>
    <t>Less : GST Charges</t>
  </si>
  <si>
    <t>TRF Charges - Guwahati</t>
  </si>
  <si>
    <t>Add. Charges from 16.09 to 10.10.25 @ 100 Per Day/Per Lacs</t>
  </si>
  <si>
    <t>ESM &amp; Jirang</t>
  </si>
  <si>
    <t>TRF &amp; Delivery Charges - Delhi</t>
  </si>
  <si>
    <t>Previous Balance</t>
  </si>
  <si>
    <t>Received on 14.10.2025</t>
  </si>
  <si>
    <t>16.10.2025</t>
  </si>
  <si>
    <t>Given at Guwahati</t>
  </si>
  <si>
    <t>Jaipur to Guwahati Charges</t>
  </si>
  <si>
    <t>Received on 16.10.2025</t>
  </si>
  <si>
    <t>18.10.2025</t>
  </si>
  <si>
    <t>Received on 18.10.2025</t>
  </si>
  <si>
    <t>TRF Hisab (P) After 18.10.2025</t>
  </si>
  <si>
    <t>30.10.2025</t>
  </si>
  <si>
    <t>01.11.2025</t>
  </si>
  <si>
    <t>TRF Return</t>
  </si>
  <si>
    <t>Other Expenses - Mandi Site</t>
  </si>
  <si>
    <t>Given to Pankaj Jain</t>
  </si>
  <si>
    <t>Paid for Jewellary</t>
  </si>
  <si>
    <t>Mandi</t>
  </si>
  <si>
    <t>TRF Charges Silchar to Jaipur for 30</t>
  </si>
  <si>
    <t>Silchar to Jaipur Charges</t>
  </si>
  <si>
    <t>Given at Guwahati (Pankaj Sen)</t>
  </si>
  <si>
    <t>04.11.2025</t>
  </si>
  <si>
    <t>TRF Charges Silchar to Jaipur for 7.25</t>
  </si>
  <si>
    <t>05.11.2025</t>
  </si>
  <si>
    <t>Given at Aizawl (Mukesh Ji)</t>
  </si>
  <si>
    <t>Silchar to Aizawl Charges</t>
  </si>
  <si>
    <t>07.11.2025</t>
  </si>
  <si>
    <t>Paid at Bhuvneshwar</t>
  </si>
  <si>
    <t>Bhuvneshwar</t>
  </si>
  <si>
    <t>Jaipur to Bhuvneshwar Charges</t>
  </si>
  <si>
    <t>Less :</t>
  </si>
  <si>
    <t>29.10.2025</t>
  </si>
  <si>
    <t>Given at Beed (Sanjay Ji)</t>
  </si>
  <si>
    <t>Jaipur to Beed Charges</t>
  </si>
  <si>
    <t>11.11.2025</t>
  </si>
  <si>
    <t>Paid to Sanjay ji at Beed</t>
  </si>
  <si>
    <t>12.11.2025</t>
  </si>
  <si>
    <t>Given to RD with Interest</t>
  </si>
  <si>
    <t>Paschimbanga Udyog - 07.11.25</t>
  </si>
  <si>
    <t>Vinayak Trading Co. - 11.11.25</t>
  </si>
  <si>
    <t>TRF Return for Guwahati (N)</t>
  </si>
  <si>
    <t>Jaipur Tyre Company - 11.11.25</t>
  </si>
  <si>
    <t>15.11.2025</t>
  </si>
  <si>
    <t>Given at Jaipur</t>
  </si>
  <si>
    <t>Noida</t>
  </si>
  <si>
    <t>Given at Noida</t>
  </si>
  <si>
    <t>Silchar to Noida + Delivery Charges</t>
  </si>
  <si>
    <t>19.11.2025</t>
  </si>
  <si>
    <t>TRF Charges - Silchar to Jaipur</t>
  </si>
  <si>
    <t>Jaipur to Chandigarh TRF &amp; Delivery Charges for 25</t>
  </si>
  <si>
    <t>20.11.2025</t>
  </si>
  <si>
    <t>Given to Bhojraj Ji ( By BL Ji Sir)</t>
  </si>
  <si>
    <t>21.11.2025</t>
  </si>
  <si>
    <t>Add. Charges for Credit - 100 Per Day/Lacs</t>
  </si>
  <si>
    <t>Received at Jaipur (25 Chandigarh &amp; 25 Cash Deposit)</t>
  </si>
  <si>
    <t>Jwalaji &amp; Mandi Site - Cash Deposit in Subhash A/c</t>
  </si>
  <si>
    <t>26.11.2025</t>
  </si>
  <si>
    <t>18.11.2025</t>
  </si>
  <si>
    <t>TRF Hisab After 07.11.2025</t>
  </si>
  <si>
    <t>23.11.2025</t>
  </si>
  <si>
    <t>25.11.2025</t>
  </si>
  <si>
    <t>Received on 25.11.2025</t>
  </si>
  <si>
    <t>Received on 26.11.2025</t>
  </si>
  <si>
    <t>28.11.2025</t>
  </si>
  <si>
    <t>International Tyres</t>
  </si>
  <si>
    <t>30.11.2025</t>
  </si>
  <si>
    <t>Received on 27.11.2025</t>
  </si>
  <si>
    <t>Received on 29.11.2025</t>
  </si>
  <si>
    <t>Jaipur Tyre Company</t>
  </si>
  <si>
    <t>Paid on 26.11.2025</t>
  </si>
  <si>
    <t>Received on 02.12.2025</t>
  </si>
  <si>
    <t>Paid on 03.12.2025</t>
  </si>
  <si>
    <t>04.12.2025</t>
  </si>
  <si>
    <t>05.12.2025</t>
  </si>
  <si>
    <t>Alwar</t>
  </si>
  <si>
    <t>Given to Pranjal at Delhi</t>
  </si>
  <si>
    <t>06.12.2025</t>
  </si>
  <si>
    <t>Given at Beed - Sanjay Ji</t>
  </si>
  <si>
    <t>Given at Jaipur Mo. No.  9784806202</t>
  </si>
  <si>
    <t>TRF Charges - Jaipur to Delhi</t>
  </si>
  <si>
    <t>TRF &amp; Delivery Charges - Jaipur to Delhi</t>
  </si>
  <si>
    <t>Given at Alwar</t>
  </si>
  <si>
    <t>TRF Charges - Jaipur to Alwar</t>
  </si>
  <si>
    <t>TRF Charges - Jaipur to Beed</t>
  </si>
  <si>
    <t>TRF &amp; Delivery Charges - Jaipur to Noida</t>
  </si>
  <si>
    <t>08.12.2025</t>
  </si>
  <si>
    <t>Guwahati TRF Return at Jaipur for Prayagraj</t>
  </si>
  <si>
    <t>Received on 06.12.25</t>
  </si>
  <si>
    <t>Received on 08.12.25</t>
  </si>
  <si>
    <t xml:space="preserve">Given at Transport Bhawan, Delhi </t>
  </si>
  <si>
    <t>14.12.2025</t>
  </si>
  <si>
    <t>Received on 14.12.25</t>
  </si>
  <si>
    <t>13.12.2025</t>
  </si>
  <si>
    <t>Jaipur Received</t>
  </si>
  <si>
    <t>16.12.2025</t>
  </si>
  <si>
    <t>Bhuvneshwar Charges</t>
  </si>
  <si>
    <t>17.12.2025</t>
  </si>
  <si>
    <t>Lucknow</t>
  </si>
  <si>
    <t>Lucknow Charges</t>
  </si>
  <si>
    <t>19.12.2025</t>
  </si>
  <si>
    <t>Guwahati Charges</t>
  </si>
  <si>
    <t>Guwahati for Shillong Site</t>
  </si>
  <si>
    <t>Kanpur</t>
  </si>
  <si>
    <t>Kanpur Charges</t>
  </si>
  <si>
    <t>Received from Delhi on 17.12.25</t>
  </si>
  <si>
    <t>Delhi to Jaipur Charges</t>
  </si>
  <si>
    <t>Lunglei Site</t>
  </si>
  <si>
    <t>Lunglei</t>
  </si>
  <si>
    <t>RXIL TRF Receipts - 20.12.2025</t>
  </si>
  <si>
    <t>Lucknow for Lunglei (By Mukesh Ji)</t>
  </si>
  <si>
    <t>22.12.2025</t>
  </si>
  <si>
    <t>Manglore Charges</t>
  </si>
  <si>
    <t>23.12.2025</t>
  </si>
  <si>
    <t>Shillong</t>
  </si>
  <si>
    <t>Shillong Charges</t>
  </si>
  <si>
    <t>24.12.2025</t>
  </si>
  <si>
    <t>Aurangabad Charges</t>
  </si>
  <si>
    <t>Kamla Ola (From MSBL)</t>
  </si>
  <si>
    <t>Balaji Borewell (From BRN)</t>
  </si>
  <si>
    <t>Received on 25.12.2025</t>
  </si>
  <si>
    <t>Received on 26.12.2025</t>
  </si>
  <si>
    <t>25.12.2025</t>
  </si>
  <si>
    <t>Jabalpur</t>
  </si>
  <si>
    <t>Jabalpur Charges</t>
  </si>
  <si>
    <t>26.12.2025</t>
  </si>
  <si>
    <t>TRF Hisab After 11.12.2025</t>
  </si>
  <si>
    <t>11.12.2025</t>
  </si>
  <si>
    <t>27.12.2025</t>
  </si>
  <si>
    <t>31.12.2025</t>
  </si>
  <si>
    <t>Dehradun Charges</t>
  </si>
  <si>
    <t>Beed Charges</t>
  </si>
  <si>
    <t>Received on 07.01.2026</t>
  </si>
  <si>
    <t>Received on 09.01.2026</t>
  </si>
  <si>
    <t>17.01.2026</t>
  </si>
  <si>
    <t>02.01.2026</t>
  </si>
  <si>
    <t>06.01.2026</t>
  </si>
  <si>
    <t>02.02.2026</t>
  </si>
  <si>
    <t>Mumbai Charges</t>
  </si>
  <si>
    <t>Received on 29.01.2026</t>
  </si>
  <si>
    <t>05.02.2026</t>
  </si>
  <si>
    <t>Silchar to Guwahati Charges</t>
  </si>
  <si>
    <t>Silchar to Delhi Charges</t>
  </si>
  <si>
    <t>Silchar to Beed Charges</t>
  </si>
  <si>
    <t>Silchar to Mumbai Charges</t>
  </si>
  <si>
    <t>Pune</t>
  </si>
  <si>
    <t>Silchar to Pune Charges</t>
  </si>
  <si>
    <t>Less : Received from Amit Ji</t>
  </si>
  <si>
    <t>06.02.2026</t>
  </si>
  <si>
    <t>Amit Ji</t>
  </si>
  <si>
    <t>Received by TRF</t>
  </si>
  <si>
    <t>Silchar</t>
  </si>
  <si>
    <t>Received on 28.02.2026</t>
  </si>
  <si>
    <t>07.03.2026</t>
  </si>
  <si>
    <t>09.03.2026</t>
  </si>
  <si>
    <t>Delhi Charges</t>
  </si>
  <si>
    <t>Received on 13.03.2026</t>
  </si>
  <si>
    <t>Charges for Credit - 200 Per Day/Lacs</t>
  </si>
  <si>
    <t>18.03.2026</t>
  </si>
  <si>
    <t xml:space="preserve">Given to Ruhul Amin </t>
  </si>
  <si>
    <t>24.03.2026</t>
  </si>
  <si>
    <t>Received on 24.03.2026</t>
  </si>
  <si>
    <t>Given at Noida (Balance from 20)</t>
  </si>
  <si>
    <t>Given at Dwarka (Balance from 25)</t>
  </si>
  <si>
    <t>Noida Delivery + Charges</t>
  </si>
  <si>
    <t>Dwarka Delivery + Charges</t>
  </si>
  <si>
    <t>26.03.2026</t>
  </si>
  <si>
    <t>Jaipur Charges</t>
  </si>
  <si>
    <t>Previous Balance upto 17.03.2026</t>
  </si>
  <si>
    <t>Jaipur for Manoj Khichar (By BL Ji)</t>
  </si>
  <si>
    <t>TRF Hisab After 17.03.2026</t>
  </si>
  <si>
    <t>Pune Charges</t>
  </si>
  <si>
    <t>Received on 26.03.2026 (S.B.)</t>
  </si>
  <si>
    <t>Received on 27.03.2026 (TRF)</t>
  </si>
  <si>
    <t>27.03.2026</t>
  </si>
  <si>
    <t>Given at Bhopal (Devansh Jain)</t>
  </si>
  <si>
    <t>Beed - Sanjay Ji</t>
  </si>
  <si>
    <t>Aizawl - Mukesh JI</t>
  </si>
  <si>
    <t>Bhopal Charges</t>
  </si>
  <si>
    <t>Received on 27.03.2026 (Khanna)</t>
  </si>
  <si>
    <t>Given to Amit Ji</t>
  </si>
  <si>
    <t>Given in Office Cash - Deepak Ji</t>
  </si>
  <si>
    <t>28.03.2026</t>
  </si>
  <si>
    <t>Received on 28.03.2026 (S.B.)</t>
  </si>
  <si>
    <t>31.03.2026</t>
  </si>
  <si>
    <t>Current Hisab</t>
  </si>
  <si>
    <t>TOTAL</t>
  </si>
  <si>
    <t>30.03.2026</t>
  </si>
  <si>
    <t>Received on 31.03.2026 (Om Ji)</t>
  </si>
  <si>
    <t>Jaipur (Amit Ji)</t>
  </si>
  <si>
    <t>Silvasa</t>
  </si>
  <si>
    <t>Patna</t>
  </si>
  <si>
    <t>Silvasa Charges</t>
  </si>
  <si>
    <t>Received on 01.04.2026 (JTC)</t>
  </si>
  <si>
    <t>01.04.2026</t>
  </si>
  <si>
    <t>Received on 01.04.2026 (JTC) (27.82 Lacs Adjusted in Previous Hisab)</t>
  </si>
  <si>
    <t>02.04.2026</t>
  </si>
  <si>
    <t>Patna Chargs</t>
  </si>
  <si>
    <t>Rohtak</t>
  </si>
  <si>
    <t>Rohtak Charges</t>
  </si>
  <si>
    <t>03.04.2026</t>
  </si>
  <si>
    <t>Jorahat</t>
  </si>
  <si>
    <t>Jorahat Charges</t>
  </si>
  <si>
    <t>Received on 02.04.2026</t>
  </si>
  <si>
    <t>Given to Sunda Ji</t>
  </si>
  <si>
    <t>Received on 03.04.2026</t>
  </si>
  <si>
    <t>04.04.2026</t>
  </si>
  <si>
    <t>08.04.2026</t>
  </si>
  <si>
    <t>Sunda JI</t>
  </si>
  <si>
    <t>From 03.04.2026 to Till Date</t>
  </si>
  <si>
    <t>Opening Balance</t>
  </si>
  <si>
    <t>15.04.2026</t>
  </si>
  <si>
    <t>16.04.2026</t>
  </si>
  <si>
    <t>17.04.2026</t>
  </si>
  <si>
    <t>Received on 25.04.2026</t>
  </si>
  <si>
    <t>29.04.2026</t>
  </si>
  <si>
    <t>04.05.2026</t>
  </si>
  <si>
    <t>Delhi TRF &amp; Delivery Charges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</si>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</sst>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69">
    <xf numFmtId="0" fontId="0" fillId="0" borderId="0" xfId="0"/>
    <xf numFmtId="0" fontId="0" fillId="0" borderId="1" xfId="0" applyBorder="1"/>
    <xf numFmtId="0" fontId="0" fillId="0" borderId="5" xfId="0" applyBorder="1"/>
    <xf numFmtId="0" fontId="1" fillId="0" borderId="8" xfId="0" applyFont="1" applyBorder="1"/>
    <xf numFmtId="0" fontId="0" fillId="0" borderId="1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/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 applyAlignment="1">
      <alignment horizontal="center"/>
    </xf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2" xfId="0" applyFont="1" applyBorder="1"/>
    <xf numFmtId="0" fontId="1" fillId="0" borderId="22" xfId="0" applyFont="1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14" fontId="0" fillId="0" borderId="11" xfId="0" applyNumberForma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0" fillId="0" borderId="33" xfId="0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4" xfId="0" applyBorder="1"/>
    <xf numFmtId="0" fontId="0" fillId="0" borderId="1" xfId="0" applyBorder="1" applyAlignment="1">
      <alignment horizontal="center" wrapText="1"/>
    </xf>
    <xf numFmtId="0" fontId="0" fillId="0" borderId="35" xfId="0" applyBorder="1"/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14" xfId="0" applyFont="1" applyBorder="1"/>
    <xf numFmtId="0" fontId="1" fillId="0" borderId="8" xfId="0" applyFont="1" applyBorder="1" applyAlignment="1">
      <alignment horizontal="center" wrapText="1"/>
    </xf>
    <xf numFmtId="0" fontId="0" fillId="0" borderId="36" xfId="0" applyBorder="1"/>
    <xf numFmtId="0" fontId="0" fillId="0" borderId="37" xfId="0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16" xfId="0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/>
    </xf>
    <xf numFmtId="10" fontId="10" fillId="0" borderId="16" xfId="0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165" fontId="10" fillId="0" borderId="11" xfId="0" applyNumberFormat="1" applyFont="1" applyBorder="1" applyAlignment="1">
      <alignment horizontal="center"/>
    </xf>
    <xf numFmtId="10" fontId="10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9" fontId="10" fillId="0" borderId="11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 vertical="center"/>
    </xf>
    <xf numFmtId="9" fontId="11" fillId="0" borderId="8" xfId="0" applyNumberFormat="1" applyFont="1" applyBorder="1" applyAlignment="1">
      <alignment horizontal="center"/>
    </xf>
    <xf numFmtId="10" fontId="1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/>
    <xf numFmtId="0" fontId="12" fillId="0" borderId="16" xfId="0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/>
    <xf numFmtId="0" fontId="13" fillId="2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1" fontId="1" fillId="0" borderId="9" xfId="0" applyNumberFormat="1" applyFont="1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1" fontId="0" fillId="0" borderId="38" xfId="0" applyNumberForma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14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5" fontId="12" fillId="0" borderId="1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/>
    <xf numFmtId="0" fontId="0" fillId="0" borderId="5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0" borderId="8" xfId="0" applyFont="1" applyBorder="1"/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4" fontId="12" fillId="0" borderId="3" xfId="1" applyFont="1" applyBorder="1" applyAlignment="1">
      <alignment horizontal="center"/>
    </xf>
    <xf numFmtId="1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14" fillId="0" borderId="1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22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14" fillId="0" borderId="10" xfId="0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0" fontId="0" fillId="0" borderId="10" xfId="0" applyBorder="1"/>
    <xf numFmtId="0" fontId="1" fillId="0" borderId="7" xfId="0" applyFont="1" applyBorder="1"/>
    <xf numFmtId="0" fontId="0" fillId="0" borderId="16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/>
    <xf numFmtId="0" fontId="0" fillId="0" borderId="11" xfId="0" applyBorder="1" applyAlignment="1">
      <alignment wrapText="1"/>
    </xf>
    <xf numFmtId="14" fontId="2" fillId="0" borderId="1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7" xfId="0" applyBorder="1"/>
    <xf numFmtId="0" fontId="7" fillId="3" borderId="1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392"/>
  <sheetViews>
    <sheetView tabSelected="1" topLeftCell="A370" zoomScale="85" zoomScaleNormal="85" workbookViewId="0">
      <selection activeCell="K378" sqref="K378"/>
    </sheetView>
  </sheetViews>
  <sheetFormatPr defaultRowHeight="14.5" x14ac:dyDescent="0.35"/>
  <cols>
    <col min="2" max="2" width="3.7265625" customWidth="1"/>
    <col min="3" max="3" width="12.90625" style="6" bestFit="1" customWidth="1"/>
    <col min="4" max="4" width="37.6328125" customWidth="1"/>
    <col min="5" max="5" width="12" style="6" bestFit="1" customWidth="1"/>
    <col min="6" max="6" width="12.26953125" style="6" bestFit="1" customWidth="1"/>
    <col min="7" max="7" width="3.81640625" style="6" customWidth="1"/>
    <col min="8" max="8" width="4.54296875" style="6" customWidth="1"/>
    <col min="9" max="9" width="12.1796875" bestFit="1" customWidth="1"/>
    <col min="10" max="10" width="22.453125" style="6" bestFit="1" customWidth="1"/>
    <col min="11" max="11" width="10.81640625" bestFit="1" customWidth="1"/>
    <col min="12" max="12" width="9.81640625" bestFit="1" customWidth="1"/>
    <col min="13" max="13" width="6.453125" hidden="1" customWidth="1"/>
    <col min="14" max="14" width="9.54296875" customWidth="1"/>
    <col min="15" max="15" width="7.6328125" bestFit="1" customWidth="1"/>
    <col min="16" max="16" width="7.26953125" bestFit="1" customWidth="1"/>
    <col min="17" max="17" width="9.81640625" style="6" customWidth="1"/>
    <col min="18" max="18" width="4.26953125" customWidth="1"/>
  </cols>
  <sheetData>
    <row r="3" spans="3:8" ht="16" thickBot="1" x14ac:dyDescent="0.4">
      <c r="C3" s="267" t="s">
        <v>31</v>
      </c>
      <c r="D3" s="267"/>
      <c r="E3" s="267"/>
      <c r="F3" s="267"/>
      <c r="G3" s="158"/>
      <c r="H3" s="158"/>
    </row>
    <row r="4" spans="3:8" s="32" customFormat="1" ht="16" thickBot="1" x14ac:dyDescent="0.4">
      <c r="C4" s="29" t="s">
        <v>0</v>
      </c>
      <c r="D4" s="30" t="s">
        <v>24</v>
      </c>
      <c r="E4" s="30" t="s">
        <v>5</v>
      </c>
      <c r="F4" s="31" t="s">
        <v>1</v>
      </c>
      <c r="G4" s="158"/>
      <c r="H4" s="158"/>
    </row>
    <row r="5" spans="3:8" x14ac:dyDescent="0.35">
      <c r="C5" s="22" t="s">
        <v>10</v>
      </c>
      <c r="D5" s="25" t="s">
        <v>37</v>
      </c>
      <c r="E5" s="23">
        <v>378000</v>
      </c>
      <c r="F5" s="26" t="s">
        <v>3</v>
      </c>
      <c r="G5" s="159"/>
      <c r="H5" s="159"/>
    </row>
    <row r="6" spans="3:8" x14ac:dyDescent="0.35">
      <c r="C6" s="19" t="s">
        <v>10</v>
      </c>
      <c r="D6" s="21" t="s">
        <v>25</v>
      </c>
      <c r="E6" s="20">
        <v>2200</v>
      </c>
      <c r="F6" s="27" t="s">
        <v>3</v>
      </c>
      <c r="G6" s="159"/>
      <c r="H6" s="159"/>
    </row>
    <row r="7" spans="3:8" x14ac:dyDescent="0.35">
      <c r="C7" s="19" t="s">
        <v>8</v>
      </c>
      <c r="D7" s="21" t="s">
        <v>33</v>
      </c>
      <c r="E7" s="20">
        <v>1000000</v>
      </c>
      <c r="F7" s="27" t="s">
        <v>9</v>
      </c>
      <c r="G7" s="159"/>
      <c r="H7" s="159"/>
    </row>
    <row r="8" spans="3:8" x14ac:dyDescent="0.35">
      <c r="C8" s="19" t="s">
        <v>8</v>
      </c>
      <c r="D8" s="21" t="s">
        <v>26</v>
      </c>
      <c r="E8" s="20">
        <v>4000</v>
      </c>
      <c r="F8" s="27" t="s">
        <v>9</v>
      </c>
      <c r="G8" s="159"/>
      <c r="H8" s="159"/>
    </row>
    <row r="9" spans="3:8" x14ac:dyDescent="0.35">
      <c r="C9" s="19" t="s">
        <v>6</v>
      </c>
      <c r="D9" s="21" t="s">
        <v>12</v>
      </c>
      <c r="E9" s="20">
        <v>200000</v>
      </c>
      <c r="F9" s="27" t="s">
        <v>7</v>
      </c>
      <c r="G9" s="159"/>
      <c r="H9" s="159"/>
    </row>
    <row r="10" spans="3:8" x14ac:dyDescent="0.35">
      <c r="C10" s="19" t="s">
        <v>6</v>
      </c>
      <c r="D10" s="21" t="s">
        <v>27</v>
      </c>
      <c r="E10" s="20">
        <v>800</v>
      </c>
      <c r="F10" s="27" t="s">
        <v>7</v>
      </c>
      <c r="G10" s="159"/>
      <c r="H10" s="159"/>
    </row>
    <row r="11" spans="3:8" x14ac:dyDescent="0.35">
      <c r="C11" s="19" t="s">
        <v>2</v>
      </c>
      <c r="D11" s="21" t="s">
        <v>4</v>
      </c>
      <c r="E11" s="20">
        <v>480000</v>
      </c>
      <c r="F11" s="27" t="s">
        <v>3</v>
      </c>
      <c r="G11" s="159"/>
      <c r="H11" s="159"/>
    </row>
    <row r="12" spans="3:8" x14ac:dyDescent="0.35">
      <c r="C12" s="19" t="s">
        <v>2</v>
      </c>
      <c r="D12" s="21" t="s">
        <v>28</v>
      </c>
      <c r="E12" s="20">
        <v>1500</v>
      </c>
      <c r="F12" s="27" t="s">
        <v>3</v>
      </c>
      <c r="G12" s="159"/>
      <c r="H12" s="159"/>
    </row>
    <row r="13" spans="3:8" x14ac:dyDescent="0.35">
      <c r="C13" s="36" t="s">
        <v>34</v>
      </c>
      <c r="D13" s="37" t="s">
        <v>38</v>
      </c>
      <c r="E13" s="38">
        <v>800000</v>
      </c>
      <c r="F13" s="39" t="s">
        <v>35</v>
      </c>
      <c r="G13" s="159"/>
      <c r="H13" s="159"/>
    </row>
    <row r="14" spans="3:8" x14ac:dyDescent="0.35">
      <c r="C14" s="36" t="s">
        <v>34</v>
      </c>
      <c r="D14" s="37" t="s">
        <v>36</v>
      </c>
      <c r="E14" s="38">
        <v>3200</v>
      </c>
      <c r="F14" s="39" t="s">
        <v>35</v>
      </c>
      <c r="G14" s="159"/>
      <c r="H14" s="159"/>
    </row>
    <row r="15" spans="3:8" x14ac:dyDescent="0.35">
      <c r="C15" s="36" t="s">
        <v>34</v>
      </c>
      <c r="D15" s="21" t="s">
        <v>32</v>
      </c>
      <c r="E15" s="20">
        <v>2500000</v>
      </c>
      <c r="F15" s="27" t="s">
        <v>14</v>
      </c>
      <c r="G15" s="159"/>
      <c r="H15" s="159"/>
    </row>
    <row r="16" spans="3:8" x14ac:dyDescent="0.35">
      <c r="C16" s="36" t="s">
        <v>34</v>
      </c>
      <c r="D16" s="21" t="s">
        <v>29</v>
      </c>
      <c r="E16" s="20">
        <v>22500</v>
      </c>
      <c r="F16" s="27" t="s">
        <v>14</v>
      </c>
      <c r="G16" s="159"/>
      <c r="H16" s="159"/>
    </row>
    <row r="17" spans="3:17" x14ac:dyDescent="0.35">
      <c r="C17" s="36" t="s">
        <v>39</v>
      </c>
      <c r="D17" s="37" t="s">
        <v>40</v>
      </c>
      <c r="E17" s="38">
        <v>700000</v>
      </c>
      <c r="F17" s="39" t="s">
        <v>13</v>
      </c>
      <c r="G17" s="159"/>
      <c r="H17" s="159"/>
    </row>
    <row r="18" spans="3:17" x14ac:dyDescent="0.35">
      <c r="C18" s="36" t="s">
        <v>39</v>
      </c>
      <c r="D18" s="37" t="s">
        <v>41</v>
      </c>
      <c r="E18" s="38">
        <v>3500</v>
      </c>
      <c r="F18" s="39" t="s">
        <v>13</v>
      </c>
      <c r="G18" s="159"/>
      <c r="H18" s="159"/>
    </row>
    <row r="19" spans="3:17" x14ac:dyDescent="0.35">
      <c r="C19" s="36" t="s">
        <v>45</v>
      </c>
      <c r="D19" s="37" t="s">
        <v>50</v>
      </c>
      <c r="E19" s="38">
        <v>100000</v>
      </c>
      <c r="F19" s="39" t="s">
        <v>13</v>
      </c>
      <c r="G19" s="159"/>
      <c r="H19" s="159"/>
    </row>
    <row r="20" spans="3:17" x14ac:dyDescent="0.35">
      <c r="C20" s="36" t="s">
        <v>46</v>
      </c>
      <c r="D20" s="37" t="s">
        <v>50</v>
      </c>
      <c r="E20" s="38">
        <v>100000</v>
      </c>
      <c r="F20" s="39" t="s">
        <v>13</v>
      </c>
      <c r="G20" s="159"/>
      <c r="H20" s="159"/>
    </row>
    <row r="21" spans="3:17" x14ac:dyDescent="0.35">
      <c r="C21" s="36" t="s">
        <v>46</v>
      </c>
      <c r="D21" s="37" t="s">
        <v>47</v>
      </c>
      <c r="E21" s="38">
        <v>466000</v>
      </c>
      <c r="F21" s="39" t="s">
        <v>13</v>
      </c>
      <c r="G21" s="159"/>
      <c r="H21" s="159"/>
    </row>
    <row r="22" spans="3:17" x14ac:dyDescent="0.35">
      <c r="C22" s="36" t="s">
        <v>46</v>
      </c>
      <c r="D22" s="37" t="s">
        <v>48</v>
      </c>
      <c r="E22" s="38">
        <v>2500</v>
      </c>
      <c r="F22" s="39" t="s">
        <v>15</v>
      </c>
      <c r="G22" s="159"/>
      <c r="H22" s="159"/>
    </row>
    <row r="23" spans="3:17" x14ac:dyDescent="0.35">
      <c r="C23" s="36" t="s">
        <v>46</v>
      </c>
      <c r="D23" s="37" t="s">
        <v>49</v>
      </c>
      <c r="E23" s="38">
        <f>30.95*500</f>
        <v>15475</v>
      </c>
      <c r="F23" s="39" t="s">
        <v>14</v>
      </c>
      <c r="G23" s="159"/>
      <c r="H23" s="159"/>
    </row>
    <row r="24" spans="3:17" x14ac:dyDescent="0.35">
      <c r="C24" s="36"/>
      <c r="D24" s="37"/>
      <c r="E24" s="38"/>
      <c r="F24" s="39"/>
      <c r="G24" s="159"/>
      <c r="H24" s="159"/>
    </row>
    <row r="25" spans="3:17" ht="15" thickBot="1" x14ac:dyDescent="0.4">
      <c r="C25" s="172"/>
      <c r="D25" s="24"/>
      <c r="E25" s="33"/>
      <c r="F25" s="47"/>
      <c r="G25" s="159"/>
      <c r="H25" s="159"/>
    </row>
    <row r="26" spans="3:17" s="28" customFormat="1" ht="16" thickBot="1" x14ac:dyDescent="0.4">
      <c r="C26" s="173"/>
      <c r="D26" s="41" t="s">
        <v>30</v>
      </c>
      <c r="E26" s="42">
        <f>SUM(E5:E25)</f>
        <v>6779675</v>
      </c>
      <c r="F26" s="48"/>
      <c r="G26" s="160"/>
      <c r="H26" s="160"/>
      <c r="J26" s="32"/>
      <c r="Q26" s="32"/>
    </row>
    <row r="27" spans="3:17" s="28" customFormat="1" ht="16" thickBot="1" x14ac:dyDescent="0.4">
      <c r="C27" s="174"/>
      <c r="D27" s="43" t="s">
        <v>43</v>
      </c>
      <c r="E27" s="44">
        <v>3000000</v>
      </c>
      <c r="F27" s="49"/>
      <c r="G27" s="161"/>
      <c r="H27" s="161"/>
      <c r="J27" s="32"/>
      <c r="Q27" s="32"/>
    </row>
    <row r="28" spans="3:17" s="28" customFormat="1" ht="16" thickBot="1" x14ac:dyDescent="0.4">
      <c r="C28" s="174"/>
      <c r="D28" s="43" t="s">
        <v>51</v>
      </c>
      <c r="E28" s="44">
        <v>3779675</v>
      </c>
      <c r="F28" s="49"/>
      <c r="G28" s="161"/>
      <c r="H28" s="161"/>
      <c r="J28" s="32"/>
      <c r="Q28" s="32"/>
    </row>
    <row r="29" spans="3:17" s="28" customFormat="1" ht="16" thickBot="1" x14ac:dyDescent="0.4">
      <c r="C29" s="175"/>
      <c r="D29" s="45" t="s">
        <v>44</v>
      </c>
      <c r="E29" s="46">
        <f>+E26-E27-E28</f>
        <v>0</v>
      </c>
      <c r="F29" s="50"/>
      <c r="G29" s="160"/>
      <c r="H29" s="160"/>
      <c r="J29" s="32"/>
      <c r="Q29" s="32"/>
    </row>
    <row r="33" spans="3:8" ht="19" thickBot="1" x14ac:dyDescent="0.5">
      <c r="C33" s="268" t="s">
        <v>90</v>
      </c>
      <c r="D33" s="268"/>
      <c r="E33" s="268"/>
      <c r="F33" s="268"/>
      <c r="G33" s="162"/>
      <c r="H33" s="162"/>
    </row>
    <row r="34" spans="3:8" x14ac:dyDescent="0.35">
      <c r="C34" s="22" t="s">
        <v>52</v>
      </c>
      <c r="D34" s="25" t="s">
        <v>53</v>
      </c>
      <c r="E34" s="23">
        <v>2000000</v>
      </c>
      <c r="F34" s="26" t="s">
        <v>9</v>
      </c>
      <c r="G34" s="159"/>
      <c r="H34" s="159"/>
    </row>
    <row r="35" spans="3:8" x14ac:dyDescent="0.35">
      <c r="C35" s="19" t="s">
        <v>52</v>
      </c>
      <c r="D35" s="21" t="s">
        <v>76</v>
      </c>
      <c r="E35" s="20">
        <v>20000</v>
      </c>
      <c r="F35" s="27" t="s">
        <v>9</v>
      </c>
      <c r="G35" s="159"/>
      <c r="H35" s="159"/>
    </row>
    <row r="36" spans="3:8" x14ac:dyDescent="0.35">
      <c r="C36" s="19" t="s">
        <v>52</v>
      </c>
      <c r="D36" s="1" t="s">
        <v>54</v>
      </c>
      <c r="E36" s="7">
        <v>600000</v>
      </c>
      <c r="F36" s="16" t="s">
        <v>14</v>
      </c>
    </row>
    <row r="37" spans="3:8" x14ac:dyDescent="0.35">
      <c r="C37" s="19" t="s">
        <v>52</v>
      </c>
      <c r="D37" s="21" t="s">
        <v>77</v>
      </c>
      <c r="E37" s="7">
        <v>6000</v>
      </c>
      <c r="F37" s="16" t="s">
        <v>14</v>
      </c>
    </row>
    <row r="38" spans="3:8" x14ac:dyDescent="0.35">
      <c r="C38" s="19" t="s">
        <v>55</v>
      </c>
      <c r="D38" s="4" t="s">
        <v>56</v>
      </c>
      <c r="E38" s="10">
        <v>500000</v>
      </c>
      <c r="F38" s="16" t="s">
        <v>15</v>
      </c>
    </row>
    <row r="39" spans="3:8" x14ac:dyDescent="0.35">
      <c r="C39" s="19" t="s">
        <v>55</v>
      </c>
      <c r="D39" s="4" t="s">
        <v>74</v>
      </c>
      <c r="E39" s="10">
        <v>4000</v>
      </c>
      <c r="F39" s="16" t="s">
        <v>15</v>
      </c>
    </row>
    <row r="40" spans="3:8" x14ac:dyDescent="0.35">
      <c r="C40" s="36" t="s">
        <v>57</v>
      </c>
      <c r="D40" s="4" t="s">
        <v>58</v>
      </c>
      <c r="E40" s="10">
        <v>1140000</v>
      </c>
      <c r="F40" s="40" t="s">
        <v>59</v>
      </c>
    </row>
    <row r="41" spans="3:8" x14ac:dyDescent="0.35">
      <c r="C41" s="36" t="s">
        <v>57</v>
      </c>
      <c r="D41" s="4" t="s">
        <v>75</v>
      </c>
      <c r="E41" s="10">
        <v>4600</v>
      </c>
      <c r="F41" s="40" t="s">
        <v>59</v>
      </c>
    </row>
    <row r="42" spans="3:8" x14ac:dyDescent="0.35">
      <c r="C42" s="36" t="s">
        <v>69</v>
      </c>
      <c r="D42" s="4" t="s">
        <v>70</v>
      </c>
      <c r="E42" s="10">
        <v>500000</v>
      </c>
      <c r="F42" s="40" t="s">
        <v>11</v>
      </c>
    </row>
    <row r="43" spans="3:8" x14ac:dyDescent="0.35">
      <c r="C43" s="36" t="s">
        <v>69</v>
      </c>
      <c r="D43" s="4" t="s">
        <v>71</v>
      </c>
      <c r="E43" s="10">
        <v>2000</v>
      </c>
      <c r="F43" s="40" t="s">
        <v>11</v>
      </c>
    </row>
    <row r="44" spans="3:8" x14ac:dyDescent="0.35">
      <c r="C44" s="36" t="s">
        <v>69</v>
      </c>
      <c r="D44" s="63" t="s">
        <v>73</v>
      </c>
      <c r="E44" s="10">
        <v>1000000</v>
      </c>
      <c r="F44" s="40" t="s">
        <v>14</v>
      </c>
    </row>
    <row r="45" spans="3:8" x14ac:dyDescent="0.35">
      <c r="C45" s="36" t="s">
        <v>69</v>
      </c>
      <c r="D45" s="4" t="s">
        <v>29</v>
      </c>
      <c r="E45" s="10">
        <v>6500</v>
      </c>
      <c r="F45" s="40" t="s">
        <v>14</v>
      </c>
    </row>
    <row r="46" spans="3:8" x14ac:dyDescent="0.35">
      <c r="C46" s="36" t="s">
        <v>82</v>
      </c>
      <c r="D46" s="4" t="s">
        <v>81</v>
      </c>
      <c r="E46" s="10">
        <v>2000000</v>
      </c>
      <c r="F46" s="40" t="s">
        <v>72</v>
      </c>
    </row>
    <row r="47" spans="3:8" x14ac:dyDescent="0.35">
      <c r="C47" s="36" t="s">
        <v>82</v>
      </c>
      <c r="D47" s="4" t="s">
        <v>80</v>
      </c>
      <c r="E47" s="10">
        <v>14000</v>
      </c>
      <c r="F47" s="40" t="s">
        <v>72</v>
      </c>
    </row>
    <row r="48" spans="3:8" x14ac:dyDescent="0.35">
      <c r="C48" s="36" t="s">
        <v>88</v>
      </c>
      <c r="D48" s="4" t="s">
        <v>86</v>
      </c>
      <c r="E48" s="10">
        <v>800000</v>
      </c>
      <c r="F48" s="40" t="s">
        <v>14</v>
      </c>
    </row>
    <row r="49" spans="3:17" x14ac:dyDescent="0.35">
      <c r="C49" s="36" t="s">
        <v>88</v>
      </c>
      <c r="D49" s="4" t="s">
        <v>87</v>
      </c>
      <c r="E49" s="10">
        <v>1600</v>
      </c>
      <c r="F49" s="40" t="s">
        <v>14</v>
      </c>
    </row>
    <row r="50" spans="3:17" s="5" customFormat="1" x14ac:dyDescent="0.35">
      <c r="C50" s="36" t="s">
        <v>83</v>
      </c>
      <c r="D50" s="51" t="s">
        <v>84</v>
      </c>
      <c r="E50" s="52">
        <v>500000</v>
      </c>
      <c r="F50" s="53" t="s">
        <v>15</v>
      </c>
      <c r="G50" s="56"/>
      <c r="H50" s="56"/>
      <c r="J50" s="56"/>
      <c r="Q50" s="56"/>
    </row>
    <row r="51" spans="3:17" s="5" customFormat="1" x14ac:dyDescent="0.35">
      <c r="C51" s="36" t="s">
        <v>83</v>
      </c>
      <c r="D51" s="51" t="s">
        <v>85</v>
      </c>
      <c r="E51" s="52">
        <v>2500</v>
      </c>
      <c r="F51" s="53" t="s">
        <v>15</v>
      </c>
      <c r="G51" s="56"/>
      <c r="H51" s="56"/>
      <c r="J51" s="56"/>
      <c r="Q51" s="56"/>
    </row>
    <row r="52" spans="3:17" s="5" customFormat="1" x14ac:dyDescent="0.35">
      <c r="C52" s="36" t="s">
        <v>91</v>
      </c>
      <c r="D52" s="51" t="s">
        <v>92</v>
      </c>
      <c r="E52" s="52">
        <v>500000</v>
      </c>
      <c r="F52" s="53" t="s">
        <v>11</v>
      </c>
      <c r="G52" s="56"/>
      <c r="H52" s="56"/>
      <c r="J52" s="56"/>
      <c r="Q52" s="56"/>
    </row>
    <row r="53" spans="3:17" s="5" customFormat="1" x14ac:dyDescent="0.35">
      <c r="C53" s="36" t="s">
        <v>91</v>
      </c>
      <c r="D53" s="4" t="s">
        <v>87</v>
      </c>
      <c r="E53" s="52">
        <v>2000</v>
      </c>
      <c r="F53" s="53" t="s">
        <v>11</v>
      </c>
      <c r="G53" s="56"/>
      <c r="H53" s="56"/>
      <c r="J53" s="56"/>
      <c r="Q53" s="56"/>
    </row>
    <row r="54" spans="3:17" s="5" customFormat="1" x14ac:dyDescent="0.35">
      <c r="C54" s="36" t="s">
        <v>94</v>
      </c>
      <c r="D54" s="4" t="s">
        <v>93</v>
      </c>
      <c r="E54" s="52">
        <v>390000</v>
      </c>
      <c r="F54" s="53" t="s">
        <v>18</v>
      </c>
      <c r="G54" s="56"/>
      <c r="H54" s="56"/>
      <c r="J54" s="56"/>
      <c r="Q54" s="56"/>
    </row>
    <row r="55" spans="3:17" s="5" customFormat="1" x14ac:dyDescent="0.35">
      <c r="C55" s="36" t="s">
        <v>94</v>
      </c>
      <c r="D55" s="51" t="s">
        <v>87</v>
      </c>
      <c r="E55" s="52">
        <v>2000</v>
      </c>
      <c r="F55" s="53" t="s">
        <v>18</v>
      </c>
      <c r="G55" s="56"/>
      <c r="H55" s="56"/>
      <c r="J55" s="56"/>
      <c r="Q55" s="56"/>
    </row>
    <row r="56" spans="3:17" s="5" customFormat="1" x14ac:dyDescent="0.35">
      <c r="C56" s="36" t="s">
        <v>95</v>
      </c>
      <c r="D56" s="51" t="s">
        <v>108</v>
      </c>
      <c r="E56" s="52">
        <v>25000</v>
      </c>
      <c r="F56" s="53" t="s">
        <v>96</v>
      </c>
      <c r="G56" s="56"/>
      <c r="H56" s="56"/>
      <c r="J56" s="56"/>
      <c r="Q56" s="56"/>
    </row>
    <row r="57" spans="3:17" s="5" customFormat="1" ht="29" x14ac:dyDescent="0.35">
      <c r="C57" s="36" t="s">
        <v>112</v>
      </c>
      <c r="D57" s="51" t="s">
        <v>140</v>
      </c>
      <c r="E57" s="52">
        <f>+Q75</f>
        <v>114800</v>
      </c>
      <c r="F57" s="53" t="s">
        <v>79</v>
      </c>
      <c r="G57" s="56"/>
      <c r="H57" s="56"/>
      <c r="J57" s="56"/>
      <c r="Q57" s="56"/>
    </row>
    <row r="58" spans="3:17" s="5" customFormat="1" x14ac:dyDescent="0.35">
      <c r="C58" s="36"/>
      <c r="D58" s="51"/>
      <c r="E58" s="52"/>
      <c r="F58" s="53"/>
      <c r="G58" s="56"/>
      <c r="H58" s="56"/>
      <c r="J58" s="56"/>
      <c r="Q58" s="56"/>
    </row>
    <row r="59" spans="3:17" ht="15" thickBot="1" x14ac:dyDescent="0.4">
      <c r="C59" s="9"/>
      <c r="D59" s="4"/>
      <c r="E59" s="10"/>
      <c r="F59" s="40"/>
      <c r="I59" s="5"/>
      <c r="J59" s="56"/>
      <c r="K59" s="5"/>
      <c r="L59" s="5"/>
      <c r="M59" s="5"/>
      <c r="N59" s="5"/>
      <c r="O59" s="5"/>
      <c r="P59" s="5"/>
      <c r="Q59" s="56"/>
    </row>
    <row r="60" spans="3:17" s="167" customFormat="1" ht="29.5" thickBot="1" x14ac:dyDescent="0.4">
      <c r="C60" s="176"/>
      <c r="D60" s="163" t="s">
        <v>30</v>
      </c>
      <c r="E60" s="164">
        <f>SUM(E34:E59)</f>
        <v>10135000</v>
      </c>
      <c r="F60" s="165"/>
      <c r="G60" s="166"/>
      <c r="H60" s="166"/>
      <c r="I60" s="68" t="s">
        <v>89</v>
      </c>
      <c r="J60" s="69" t="s">
        <v>60</v>
      </c>
      <c r="K60" s="69" t="s">
        <v>61</v>
      </c>
      <c r="L60" s="69" t="s">
        <v>62</v>
      </c>
      <c r="M60" s="69" t="s">
        <v>65</v>
      </c>
      <c r="N60" s="69" t="s">
        <v>66</v>
      </c>
      <c r="O60" s="69" t="s">
        <v>5</v>
      </c>
      <c r="P60" s="69" t="s">
        <v>67</v>
      </c>
      <c r="Q60" s="70" t="s">
        <v>64</v>
      </c>
    </row>
    <row r="61" spans="3:17" x14ac:dyDescent="0.35">
      <c r="C61" s="177" t="s">
        <v>68</v>
      </c>
      <c r="D61" s="60" t="s">
        <v>78</v>
      </c>
      <c r="E61" s="61">
        <v>1144600</v>
      </c>
      <c r="F61" s="53"/>
      <c r="G61" s="56"/>
      <c r="H61" s="56"/>
      <c r="I61" s="74"/>
      <c r="J61" s="75"/>
      <c r="K61" s="75"/>
      <c r="L61" s="75"/>
      <c r="M61" s="75"/>
      <c r="N61" s="75"/>
      <c r="O61" s="75"/>
      <c r="P61" s="75"/>
      <c r="Q61" s="76"/>
    </row>
    <row r="62" spans="3:17" x14ac:dyDescent="0.35">
      <c r="C62" s="11" t="s">
        <v>94</v>
      </c>
      <c r="D62" s="2" t="s">
        <v>78</v>
      </c>
      <c r="E62" s="15">
        <f>+E52+E53+E54+E55</f>
        <v>894000</v>
      </c>
      <c r="F62" s="53"/>
      <c r="G62" s="56"/>
      <c r="H62" s="56"/>
      <c r="I62" s="8" t="s">
        <v>63</v>
      </c>
      <c r="J62" s="54">
        <v>45909</v>
      </c>
      <c r="K62" s="79">
        <v>45940</v>
      </c>
      <c r="L62" s="55">
        <f>+K62-J62</f>
        <v>31</v>
      </c>
      <c r="M62" s="55">
        <v>7</v>
      </c>
      <c r="N62" s="55">
        <f>L62-M62</f>
        <v>24</v>
      </c>
      <c r="O62" s="7">
        <v>20</v>
      </c>
      <c r="P62" s="7">
        <v>100</v>
      </c>
      <c r="Q62" s="16">
        <f>+N62*O62*(P62)</f>
        <v>48000</v>
      </c>
    </row>
    <row r="63" spans="3:17" x14ac:dyDescent="0.35">
      <c r="C63" s="11" t="s">
        <v>112</v>
      </c>
      <c r="D63" s="2" t="s">
        <v>109</v>
      </c>
      <c r="E63" s="15">
        <v>4975000</v>
      </c>
      <c r="F63" s="53"/>
      <c r="G63" s="56"/>
      <c r="H63" s="56"/>
      <c r="I63" s="8" t="s">
        <v>14</v>
      </c>
      <c r="J63" s="54">
        <v>45909</v>
      </c>
      <c r="K63" s="79">
        <v>45940</v>
      </c>
      <c r="L63" s="55">
        <f t="shared" ref="L63:L69" si="0">+K63-J63</f>
        <v>31</v>
      </c>
      <c r="M63" s="55">
        <v>7</v>
      </c>
      <c r="N63" s="55">
        <f>L63-M63</f>
        <v>24</v>
      </c>
      <c r="O63" s="7">
        <v>6</v>
      </c>
      <c r="P63" s="7">
        <v>100</v>
      </c>
      <c r="Q63" s="16">
        <f>+N63*O63*P63</f>
        <v>14400</v>
      </c>
    </row>
    <row r="64" spans="3:17" x14ac:dyDescent="0.35">
      <c r="C64" s="11" t="s">
        <v>112</v>
      </c>
      <c r="D64" s="2" t="s">
        <v>107</v>
      </c>
      <c r="E64" s="15">
        <v>2487500</v>
      </c>
      <c r="F64" s="53"/>
      <c r="G64" s="56"/>
      <c r="H64" s="56"/>
      <c r="I64" s="8" t="s">
        <v>15</v>
      </c>
      <c r="J64" s="54">
        <v>45922</v>
      </c>
      <c r="K64" s="79">
        <v>45940</v>
      </c>
      <c r="L64" s="55">
        <f t="shared" si="0"/>
        <v>18</v>
      </c>
      <c r="M64" s="55">
        <v>1</v>
      </c>
      <c r="N64" s="55">
        <f>L64-M64</f>
        <v>17</v>
      </c>
      <c r="O64" s="7">
        <v>5</v>
      </c>
      <c r="P64" s="7">
        <v>100</v>
      </c>
      <c r="Q64" s="16">
        <f>+N64*O64*P64</f>
        <v>8500</v>
      </c>
    </row>
    <row r="65" spans="3:17" x14ac:dyDescent="0.35">
      <c r="C65" s="11" t="s">
        <v>117</v>
      </c>
      <c r="D65" s="2" t="s">
        <v>141</v>
      </c>
      <c r="E65" s="15">
        <v>2089500</v>
      </c>
      <c r="F65" s="53"/>
      <c r="G65" s="56"/>
      <c r="H65" s="56"/>
      <c r="I65" s="8" t="s">
        <v>11</v>
      </c>
      <c r="J65" s="54">
        <v>45929</v>
      </c>
      <c r="K65" s="79">
        <v>45940</v>
      </c>
      <c r="L65" s="55">
        <f t="shared" si="0"/>
        <v>11</v>
      </c>
      <c r="M65" s="55">
        <v>1</v>
      </c>
      <c r="N65" s="55">
        <f t="shared" ref="N65:N67" si="1">L65-M65</f>
        <v>10</v>
      </c>
      <c r="O65" s="7">
        <v>5</v>
      </c>
      <c r="P65" s="7">
        <v>100</v>
      </c>
      <c r="Q65" s="16">
        <f t="shared" ref="Q65:Q67" si="2">+N65*O65*P65</f>
        <v>5000</v>
      </c>
    </row>
    <row r="66" spans="3:17" ht="15" thickBot="1" x14ac:dyDescent="0.4">
      <c r="C66" s="178"/>
      <c r="D66" s="168"/>
      <c r="E66" s="169"/>
      <c r="F66" s="53"/>
      <c r="G66" s="56"/>
      <c r="H66" s="56"/>
      <c r="I66" s="8" t="s">
        <v>14</v>
      </c>
      <c r="J66" s="54">
        <v>45929</v>
      </c>
      <c r="K66" s="79">
        <v>45940</v>
      </c>
      <c r="L66" s="55">
        <f t="shared" ref="L66" si="3">+K66-J66</f>
        <v>11</v>
      </c>
      <c r="M66" s="55">
        <v>1</v>
      </c>
      <c r="N66" s="55">
        <f t="shared" ref="N66" si="4">L66-M66</f>
        <v>10</v>
      </c>
      <c r="O66" s="7">
        <v>10</v>
      </c>
      <c r="P66" s="7">
        <v>100</v>
      </c>
      <c r="Q66" s="16">
        <f t="shared" ref="Q66" si="5">+N66*O66*P66</f>
        <v>10000</v>
      </c>
    </row>
    <row r="67" spans="3:17" ht="15" thickBot="1" x14ac:dyDescent="0.4">
      <c r="C67" s="12"/>
      <c r="D67" s="3" t="s">
        <v>23</v>
      </c>
      <c r="E67" s="14">
        <f>SUM(E61:E66)</f>
        <v>11590600</v>
      </c>
      <c r="F67" s="165"/>
      <c r="G67" s="56"/>
      <c r="H67" s="56"/>
      <c r="I67" s="8" t="s">
        <v>72</v>
      </c>
      <c r="J67" s="54">
        <v>45930</v>
      </c>
      <c r="K67" s="79">
        <v>45940</v>
      </c>
      <c r="L67" s="55">
        <f t="shared" si="0"/>
        <v>10</v>
      </c>
      <c r="M67" s="55">
        <v>1</v>
      </c>
      <c r="N67" s="55">
        <f t="shared" si="1"/>
        <v>9</v>
      </c>
      <c r="O67" s="7">
        <v>20</v>
      </c>
      <c r="P67" s="7">
        <v>100</v>
      </c>
      <c r="Q67" s="16">
        <f t="shared" si="2"/>
        <v>18000</v>
      </c>
    </row>
    <row r="68" spans="3:17" ht="15" thickBot="1" x14ac:dyDescent="0.4">
      <c r="C68" s="178"/>
      <c r="D68" s="168"/>
      <c r="E68" s="169"/>
      <c r="F68" s="170"/>
      <c r="G68" s="56"/>
      <c r="H68" s="56"/>
      <c r="I68" s="9" t="s">
        <v>14</v>
      </c>
      <c r="J68" s="79">
        <v>45931</v>
      </c>
      <c r="K68" s="79">
        <v>45940</v>
      </c>
      <c r="L68" s="55">
        <f t="shared" si="0"/>
        <v>9</v>
      </c>
      <c r="M68" s="55">
        <v>1</v>
      </c>
      <c r="N68" s="55">
        <f t="shared" ref="N68" si="6">L68-M68</f>
        <v>8</v>
      </c>
      <c r="O68" s="7">
        <v>8</v>
      </c>
      <c r="P68" s="7">
        <v>100</v>
      </c>
      <c r="Q68" s="16">
        <f t="shared" ref="Q68" si="7">+N68*O68*P68</f>
        <v>6400</v>
      </c>
    </row>
    <row r="69" spans="3:17" ht="19" thickBot="1" x14ac:dyDescent="0.4">
      <c r="C69" s="93"/>
      <c r="D69" s="62" t="s">
        <v>44</v>
      </c>
      <c r="E69" s="67">
        <f>E67-E60</f>
        <v>1455600</v>
      </c>
      <c r="F69" s="64"/>
      <c r="G69" s="56"/>
      <c r="H69" s="56"/>
      <c r="I69" s="9" t="s">
        <v>15</v>
      </c>
      <c r="J69" s="79">
        <v>45933</v>
      </c>
      <c r="K69" s="79">
        <v>45943</v>
      </c>
      <c r="L69" s="55">
        <f t="shared" si="0"/>
        <v>10</v>
      </c>
      <c r="M69" s="55">
        <v>1</v>
      </c>
      <c r="N69" s="55">
        <f t="shared" ref="N69" si="8">L69-M69</f>
        <v>9</v>
      </c>
      <c r="O69" s="7">
        <v>5</v>
      </c>
      <c r="P69" s="7">
        <v>100</v>
      </c>
      <c r="Q69" s="16">
        <f t="shared" ref="Q69" si="9">+N69*O69*P69</f>
        <v>4500</v>
      </c>
    </row>
    <row r="70" spans="3:17" ht="15.5" x14ac:dyDescent="0.35">
      <c r="C70" s="66"/>
      <c r="D70" s="65"/>
      <c r="E70" s="66"/>
      <c r="F70" s="56"/>
      <c r="G70" s="56"/>
      <c r="H70" s="56"/>
      <c r="I70" s="9"/>
      <c r="J70" s="79"/>
      <c r="K70" s="79"/>
      <c r="L70" s="55"/>
      <c r="M70" s="55"/>
      <c r="N70" s="55"/>
      <c r="O70" s="7"/>
      <c r="P70" s="7"/>
      <c r="Q70" s="16"/>
    </row>
    <row r="71" spans="3:17" s="5" customFormat="1" ht="32" customHeight="1" x14ac:dyDescent="0.35">
      <c r="C71" s="66"/>
      <c r="D71" s="65"/>
      <c r="E71" s="66"/>
      <c r="F71" s="56"/>
      <c r="G71" s="56"/>
      <c r="H71" s="56"/>
      <c r="I71" s="9"/>
      <c r="J71" s="79"/>
      <c r="K71" s="79"/>
      <c r="L71" s="55"/>
      <c r="M71" s="55"/>
      <c r="N71" s="55"/>
      <c r="O71" s="7"/>
      <c r="P71" s="7"/>
      <c r="Q71" s="16"/>
    </row>
    <row r="72" spans="3:17" s="5" customFormat="1" ht="19" thickBot="1" x14ac:dyDescent="0.5">
      <c r="C72" s="268" t="s">
        <v>90</v>
      </c>
      <c r="D72" s="268"/>
      <c r="E72" s="268"/>
      <c r="F72" s="268"/>
      <c r="G72" s="162"/>
      <c r="H72" s="56"/>
      <c r="I72" s="9"/>
      <c r="J72" s="79"/>
      <c r="K72" s="79"/>
      <c r="L72" s="55"/>
      <c r="M72" s="55"/>
      <c r="N72" s="55"/>
      <c r="O72" s="7"/>
      <c r="P72" s="7"/>
      <c r="Q72" s="16"/>
    </row>
    <row r="73" spans="3:17" x14ac:dyDescent="0.35">
      <c r="C73" s="22"/>
      <c r="D73" s="25"/>
      <c r="E73" s="23"/>
      <c r="F73" s="26"/>
      <c r="G73" s="159"/>
      <c r="I73" s="9"/>
      <c r="J73" s="79"/>
      <c r="K73" s="79"/>
      <c r="L73" s="55"/>
      <c r="M73" s="55"/>
      <c r="N73" s="55"/>
      <c r="O73" s="7"/>
      <c r="P73" s="7"/>
      <c r="Q73" s="16"/>
    </row>
    <row r="74" spans="3:17" ht="15" thickBot="1" x14ac:dyDescent="0.4">
      <c r="C74" s="36" t="s">
        <v>113</v>
      </c>
      <c r="D74" s="51" t="s">
        <v>114</v>
      </c>
      <c r="E74" s="52">
        <v>500000</v>
      </c>
      <c r="F74" s="53" t="s">
        <v>116</v>
      </c>
      <c r="G74" s="56"/>
      <c r="I74" s="77"/>
      <c r="J74" s="34"/>
      <c r="K74" s="34"/>
      <c r="L74" s="78"/>
      <c r="M74" s="78"/>
      <c r="N74" s="78"/>
      <c r="O74" s="78"/>
      <c r="P74" s="78"/>
      <c r="Q74" s="35"/>
    </row>
    <row r="75" spans="3:17" ht="15" thickBot="1" x14ac:dyDescent="0.4">
      <c r="C75" s="36" t="s">
        <v>113</v>
      </c>
      <c r="D75" s="51" t="s">
        <v>115</v>
      </c>
      <c r="E75" s="52">
        <v>2000</v>
      </c>
      <c r="F75" s="53" t="s">
        <v>116</v>
      </c>
      <c r="G75" s="56"/>
      <c r="I75" s="71"/>
      <c r="J75" s="72"/>
      <c r="K75" s="72"/>
      <c r="L75" s="72"/>
      <c r="M75" s="72"/>
      <c r="N75" s="72"/>
      <c r="O75" s="72">
        <f>SUM(O62:O74)</f>
        <v>79</v>
      </c>
      <c r="P75" s="72"/>
      <c r="Q75" s="73">
        <f>SUM(Q62:Q74)</f>
        <v>114800</v>
      </c>
    </row>
    <row r="76" spans="3:17" x14ac:dyDescent="0.35">
      <c r="C76" s="36" t="s">
        <v>117</v>
      </c>
      <c r="D76" s="51" t="s">
        <v>118</v>
      </c>
      <c r="E76" s="52">
        <v>2500000</v>
      </c>
      <c r="F76" s="53" t="s">
        <v>120</v>
      </c>
      <c r="G76" s="56"/>
    </row>
    <row r="77" spans="3:17" x14ac:dyDescent="0.35">
      <c r="C77" s="36" t="s">
        <v>117</v>
      </c>
      <c r="D77" s="51" t="s">
        <v>119</v>
      </c>
      <c r="E77" s="52">
        <v>12500</v>
      </c>
      <c r="F77" s="53" t="s">
        <v>120</v>
      </c>
      <c r="G77" s="56"/>
    </row>
    <row r="78" spans="3:17" x14ac:dyDescent="0.35">
      <c r="C78" s="36" t="s">
        <v>117</v>
      </c>
      <c r="D78" s="51" t="s">
        <v>96</v>
      </c>
      <c r="E78" s="52">
        <v>765000</v>
      </c>
      <c r="F78" s="53" t="s">
        <v>96</v>
      </c>
      <c r="G78" s="56"/>
    </row>
    <row r="79" spans="3:17" x14ac:dyDescent="0.35">
      <c r="C79" s="36" t="s">
        <v>117</v>
      </c>
      <c r="D79" s="51" t="s">
        <v>139</v>
      </c>
      <c r="E79" s="52">
        <v>4000</v>
      </c>
      <c r="F79" s="53" t="s">
        <v>96</v>
      </c>
      <c r="G79" s="56"/>
    </row>
    <row r="80" spans="3:17" x14ac:dyDescent="0.35">
      <c r="C80" s="36" t="s">
        <v>117</v>
      </c>
      <c r="D80" s="51" t="s">
        <v>84</v>
      </c>
      <c r="E80" s="52">
        <v>1000000</v>
      </c>
      <c r="F80" s="53" t="s">
        <v>15</v>
      </c>
      <c r="G80" s="56"/>
    </row>
    <row r="81" spans="3:16" x14ac:dyDescent="0.35">
      <c r="C81" s="36" t="s">
        <v>117</v>
      </c>
      <c r="D81" s="51" t="s">
        <v>142</v>
      </c>
      <c r="E81" s="52">
        <v>4000</v>
      </c>
      <c r="F81" s="53" t="s">
        <v>15</v>
      </c>
      <c r="G81" s="56"/>
    </row>
    <row r="82" spans="3:16" x14ac:dyDescent="0.35">
      <c r="C82" s="36" t="s">
        <v>145</v>
      </c>
      <c r="D82" s="51" t="s">
        <v>146</v>
      </c>
      <c r="E82" s="52">
        <v>200000</v>
      </c>
      <c r="F82" s="53" t="s">
        <v>96</v>
      </c>
      <c r="G82" s="56"/>
    </row>
    <row r="83" spans="3:16" x14ac:dyDescent="0.35">
      <c r="C83" s="36" t="s">
        <v>145</v>
      </c>
      <c r="D83" s="51" t="s">
        <v>147</v>
      </c>
      <c r="E83" s="52">
        <v>1000</v>
      </c>
      <c r="F83" s="53" t="s">
        <v>96</v>
      </c>
      <c r="G83" s="56"/>
    </row>
    <row r="84" spans="3:16" ht="15" thickBot="1" x14ac:dyDescent="0.4">
      <c r="C84" s="9"/>
      <c r="D84" s="4"/>
      <c r="E84" s="10"/>
      <c r="F84" s="40"/>
    </row>
    <row r="85" spans="3:16" ht="15" thickBot="1" x14ac:dyDescent="0.4">
      <c r="C85" s="179"/>
      <c r="D85" s="58" t="s">
        <v>30</v>
      </c>
      <c r="E85" s="59">
        <f>SUM(E73:E84)</f>
        <v>4988500</v>
      </c>
      <c r="F85" s="14"/>
      <c r="G85" s="57"/>
    </row>
    <row r="86" spans="3:16" s="6" customFormat="1" x14ac:dyDescent="0.35">
      <c r="C86" s="177" t="s">
        <v>117</v>
      </c>
      <c r="D86" s="60" t="s">
        <v>143</v>
      </c>
      <c r="E86" s="171">
        <f>E69</f>
        <v>1455600</v>
      </c>
      <c r="F86" s="53"/>
      <c r="G86" s="56"/>
      <c r="I86"/>
      <c r="K86"/>
      <c r="L86"/>
      <c r="M86"/>
      <c r="N86"/>
      <c r="O86"/>
      <c r="P86"/>
    </row>
    <row r="87" spans="3:16" x14ac:dyDescent="0.35">
      <c r="C87" s="11" t="s">
        <v>149</v>
      </c>
      <c r="D87" s="2" t="s">
        <v>150</v>
      </c>
      <c r="E87" s="15">
        <v>3532900</v>
      </c>
      <c r="F87" s="53"/>
      <c r="G87" s="56"/>
    </row>
    <row r="88" spans="3:16" ht="15" thickBot="1" x14ac:dyDescent="0.4">
      <c r="C88" s="9"/>
      <c r="D88" s="4"/>
      <c r="E88" s="40"/>
      <c r="F88" s="53"/>
      <c r="G88" s="56"/>
    </row>
    <row r="89" spans="3:16" ht="19" thickBot="1" x14ac:dyDescent="0.4">
      <c r="C89" s="93"/>
      <c r="D89" s="62" t="s">
        <v>44</v>
      </c>
      <c r="E89" s="67">
        <f>+E85-(SUM(E86:E88))</f>
        <v>0</v>
      </c>
      <c r="F89" s="64"/>
      <c r="G89" s="56"/>
    </row>
    <row r="91" spans="3:16" x14ac:dyDescent="0.35">
      <c r="H91"/>
    </row>
    <row r="92" spans="3:16" ht="15" thickBot="1" x14ac:dyDescent="0.4">
      <c r="H92"/>
    </row>
    <row r="93" spans="3:16" ht="87.5" thickBot="1" x14ac:dyDescent="0.4">
      <c r="C93" s="180" t="s">
        <v>97</v>
      </c>
      <c r="D93" s="80" t="s">
        <v>98</v>
      </c>
      <c r="E93" s="17" t="s">
        <v>99</v>
      </c>
      <c r="F93" s="17" t="s">
        <v>100</v>
      </c>
      <c r="G93" s="18" t="s">
        <v>101</v>
      </c>
      <c r="H93"/>
    </row>
    <row r="94" spans="3:16" x14ac:dyDescent="0.35">
      <c r="C94" s="11" t="s">
        <v>95</v>
      </c>
      <c r="D94" s="81" t="s">
        <v>102</v>
      </c>
      <c r="E94" s="82">
        <v>3332600</v>
      </c>
      <c r="F94" s="82">
        <v>65937.8</v>
      </c>
      <c r="G94" s="83">
        <f>E94-F94</f>
        <v>3266662.2</v>
      </c>
      <c r="H94"/>
    </row>
    <row r="95" spans="3:16" x14ac:dyDescent="0.35">
      <c r="C95" s="8" t="s">
        <v>95</v>
      </c>
      <c r="D95" s="84" t="s">
        <v>103</v>
      </c>
      <c r="E95" s="85">
        <v>2367630</v>
      </c>
      <c r="F95" s="85">
        <v>48467.46</v>
      </c>
      <c r="G95" s="153">
        <f>E95-F95</f>
        <v>2319162.54</v>
      </c>
      <c r="H95"/>
    </row>
    <row r="96" spans="3:16" x14ac:dyDescent="0.35">
      <c r="C96" s="8" t="s">
        <v>117</v>
      </c>
      <c r="D96" s="84" t="s">
        <v>104</v>
      </c>
      <c r="E96" s="85">
        <v>1770000</v>
      </c>
      <c r="F96" s="85">
        <v>36545.379999999997</v>
      </c>
      <c r="G96" s="153">
        <f>E96-F96</f>
        <v>1733454.62</v>
      </c>
      <c r="H96"/>
    </row>
    <row r="97" spans="3:8" ht="15" thickBot="1" x14ac:dyDescent="0.4">
      <c r="C97" s="9"/>
      <c r="D97" s="86"/>
      <c r="E97" s="87"/>
      <c r="F97" s="87"/>
      <c r="G97" s="154"/>
      <c r="H97"/>
    </row>
    <row r="98" spans="3:8" ht="15" thickBot="1" x14ac:dyDescent="0.4">
      <c r="C98" s="88"/>
      <c r="D98" s="89" t="s">
        <v>22</v>
      </c>
      <c r="E98" s="90">
        <f>SUM(E94:E96)</f>
        <v>7470230</v>
      </c>
      <c r="F98" s="90">
        <f t="shared" ref="F98" si="10">SUM(F94:F96)</f>
        <v>150950.64000000001</v>
      </c>
      <c r="G98" s="155">
        <f>SUM(G94:G96)</f>
        <v>7319279.3600000003</v>
      </c>
      <c r="H98"/>
    </row>
    <row r="99" spans="3:8" x14ac:dyDescent="0.35">
      <c r="C99" s="11"/>
      <c r="D99" s="81" t="s">
        <v>105</v>
      </c>
      <c r="E99" s="82"/>
      <c r="F99" s="82"/>
      <c r="G99" s="156">
        <f>+G98*0.03</f>
        <v>219578.38080000001</v>
      </c>
      <c r="H99"/>
    </row>
    <row r="100" spans="3:8" ht="15" thickBot="1" x14ac:dyDescent="0.4">
      <c r="C100" s="9"/>
      <c r="D100" s="91"/>
      <c r="E100" s="92"/>
      <c r="F100" s="92"/>
      <c r="G100" s="157"/>
      <c r="H100"/>
    </row>
    <row r="101" spans="3:8" ht="15" thickBot="1" x14ac:dyDescent="0.4">
      <c r="C101" s="88"/>
      <c r="D101" s="89" t="s">
        <v>106</v>
      </c>
      <c r="E101" s="90"/>
      <c r="F101" s="90"/>
      <c r="G101" s="155">
        <f>+G98-G99</f>
        <v>7099700.9791999999</v>
      </c>
      <c r="H101"/>
    </row>
    <row r="102" spans="3:8" x14ac:dyDescent="0.35">
      <c r="C102" s="11"/>
      <c r="D102" s="81" t="s">
        <v>110</v>
      </c>
      <c r="E102" s="82"/>
      <c r="F102" s="82"/>
      <c r="G102" s="156">
        <v>5000000</v>
      </c>
      <c r="H102"/>
    </row>
    <row r="103" spans="3:8" x14ac:dyDescent="0.35">
      <c r="C103" s="11"/>
      <c r="D103" s="81" t="s">
        <v>144</v>
      </c>
      <c r="E103" s="82"/>
      <c r="F103" s="82"/>
      <c r="G103" s="156">
        <v>1730000</v>
      </c>
      <c r="H103"/>
    </row>
    <row r="104" spans="3:8" x14ac:dyDescent="0.35">
      <c r="C104" s="8"/>
      <c r="D104" s="81" t="s">
        <v>148</v>
      </c>
      <c r="E104" s="85"/>
      <c r="F104" s="85"/>
      <c r="G104" s="153">
        <v>370000</v>
      </c>
      <c r="H104"/>
    </row>
    <row r="105" spans="3:8" ht="15" thickBot="1" x14ac:dyDescent="0.4">
      <c r="C105" s="9"/>
      <c r="D105" s="86"/>
      <c r="E105" s="87"/>
      <c r="F105" s="87"/>
      <c r="G105" s="154"/>
      <c r="H105"/>
    </row>
    <row r="106" spans="3:8" ht="15" thickBot="1" x14ac:dyDescent="0.4">
      <c r="C106" s="12"/>
      <c r="D106" s="89" t="s">
        <v>111</v>
      </c>
      <c r="E106" s="3"/>
      <c r="F106" s="13"/>
      <c r="G106" s="132">
        <f>+G101-(SUM(G102:G105))</f>
        <v>-299.02080000005662</v>
      </c>
      <c r="H106"/>
    </row>
    <row r="107" spans="3:8" x14ac:dyDescent="0.35">
      <c r="H107"/>
    </row>
    <row r="108" spans="3:8" x14ac:dyDescent="0.35">
      <c r="H108"/>
    </row>
    <row r="109" spans="3:8" x14ac:dyDescent="0.35">
      <c r="H109"/>
    </row>
    <row r="110" spans="3:8" x14ac:dyDescent="0.35">
      <c r="H110"/>
    </row>
    <row r="111" spans="3:8" ht="19" thickBot="1" x14ac:dyDescent="0.5">
      <c r="C111" s="264" t="s">
        <v>151</v>
      </c>
      <c r="D111" s="264"/>
      <c r="E111" s="264"/>
      <c r="F111" s="264"/>
      <c r="H111"/>
    </row>
    <row r="112" spans="3:8" ht="16" thickBot="1" x14ac:dyDescent="0.4">
      <c r="C112" s="29" t="s">
        <v>0</v>
      </c>
      <c r="D112" s="30" t="s">
        <v>24</v>
      </c>
      <c r="E112" s="30" t="s">
        <v>5</v>
      </c>
      <c r="F112" s="31" t="s">
        <v>1</v>
      </c>
    </row>
    <row r="113" spans="3:6" x14ac:dyDescent="0.35">
      <c r="C113" s="191"/>
      <c r="D113" s="192"/>
      <c r="E113" s="193"/>
      <c r="F113" s="194"/>
    </row>
    <row r="114" spans="3:6" x14ac:dyDescent="0.35">
      <c r="C114" s="188" t="s">
        <v>172</v>
      </c>
      <c r="D114" s="187" t="s">
        <v>161</v>
      </c>
      <c r="E114" s="186">
        <v>650000</v>
      </c>
      <c r="F114" s="189" t="s">
        <v>96</v>
      </c>
    </row>
    <row r="115" spans="3:6" x14ac:dyDescent="0.35">
      <c r="C115" s="188" t="s">
        <v>172</v>
      </c>
      <c r="D115" s="187" t="s">
        <v>147</v>
      </c>
      <c r="E115" s="186">
        <f>6.5*600</f>
        <v>3900</v>
      </c>
      <c r="F115" s="189" t="s">
        <v>96</v>
      </c>
    </row>
    <row r="116" spans="3:6" x14ac:dyDescent="0.35">
      <c r="C116" s="188" t="s">
        <v>172</v>
      </c>
      <c r="D116" s="187" t="s">
        <v>173</v>
      </c>
      <c r="E116" s="186">
        <v>300000</v>
      </c>
      <c r="F116" s="189" t="s">
        <v>7</v>
      </c>
    </row>
    <row r="117" spans="3:6" x14ac:dyDescent="0.35">
      <c r="C117" s="188" t="s">
        <v>172</v>
      </c>
      <c r="D117" s="187" t="s">
        <v>174</v>
      </c>
      <c r="E117" s="186">
        <v>1500</v>
      </c>
      <c r="F117" s="189" t="s">
        <v>7</v>
      </c>
    </row>
    <row r="118" spans="3:6" x14ac:dyDescent="0.35">
      <c r="C118" s="188" t="s">
        <v>152</v>
      </c>
      <c r="D118" s="187" t="s">
        <v>154</v>
      </c>
      <c r="E118" s="186">
        <v>1900000</v>
      </c>
      <c r="F118" s="189" t="s">
        <v>14</v>
      </c>
    </row>
    <row r="119" spans="3:6" x14ac:dyDescent="0.35">
      <c r="C119" s="188" t="s">
        <v>152</v>
      </c>
      <c r="D119" s="187" t="s">
        <v>155</v>
      </c>
      <c r="E119" s="186">
        <v>100000</v>
      </c>
      <c r="F119" s="189" t="s">
        <v>158</v>
      </c>
    </row>
    <row r="120" spans="3:6" x14ac:dyDescent="0.35">
      <c r="C120" s="188" t="s">
        <v>152</v>
      </c>
      <c r="D120" s="187" t="s">
        <v>156</v>
      </c>
      <c r="E120" s="186">
        <v>1000000</v>
      </c>
      <c r="F120" s="189" t="s">
        <v>14</v>
      </c>
    </row>
    <row r="121" spans="3:6" x14ac:dyDescent="0.35">
      <c r="C121" s="188" t="s">
        <v>152</v>
      </c>
      <c r="D121" s="187" t="s">
        <v>159</v>
      </c>
      <c r="E121" s="186">
        <f>30*650</f>
        <v>19500</v>
      </c>
      <c r="F121" s="189" t="s">
        <v>14</v>
      </c>
    </row>
    <row r="122" spans="3:6" x14ac:dyDescent="0.35">
      <c r="C122" s="188" t="s">
        <v>153</v>
      </c>
      <c r="D122" s="187" t="s">
        <v>157</v>
      </c>
      <c r="E122" s="186">
        <v>600000</v>
      </c>
      <c r="F122" s="189" t="s">
        <v>14</v>
      </c>
    </row>
    <row r="123" spans="3:6" x14ac:dyDescent="0.35">
      <c r="C123" s="188" t="s">
        <v>153</v>
      </c>
      <c r="D123" s="187" t="s">
        <v>160</v>
      </c>
      <c r="E123" s="7">
        <f>6*650</f>
        <v>3900</v>
      </c>
      <c r="F123" s="189" t="s">
        <v>14</v>
      </c>
    </row>
    <row r="124" spans="3:6" x14ac:dyDescent="0.35">
      <c r="C124" s="8" t="s">
        <v>162</v>
      </c>
      <c r="D124" s="187" t="s">
        <v>154</v>
      </c>
      <c r="E124" s="7">
        <v>725000</v>
      </c>
      <c r="F124" s="16" t="s">
        <v>14</v>
      </c>
    </row>
    <row r="125" spans="3:6" x14ac:dyDescent="0.35">
      <c r="C125" s="8" t="s">
        <v>162</v>
      </c>
      <c r="D125" s="1" t="s">
        <v>163</v>
      </c>
      <c r="E125" s="7">
        <v>4700</v>
      </c>
      <c r="F125" s="16" t="s">
        <v>14</v>
      </c>
    </row>
    <row r="126" spans="3:6" x14ac:dyDescent="0.35">
      <c r="C126" s="8" t="s">
        <v>164</v>
      </c>
      <c r="D126" s="1" t="s">
        <v>165</v>
      </c>
      <c r="E126" s="7">
        <v>1000000</v>
      </c>
      <c r="F126" s="16" t="s">
        <v>13</v>
      </c>
    </row>
    <row r="127" spans="3:6" x14ac:dyDescent="0.35">
      <c r="C127" s="8" t="s">
        <v>164</v>
      </c>
      <c r="D127" s="1" t="s">
        <v>166</v>
      </c>
      <c r="E127" s="7">
        <v>4000</v>
      </c>
      <c r="F127" s="16" t="s">
        <v>13</v>
      </c>
    </row>
    <row r="128" spans="3:6" ht="15" thickBot="1" x14ac:dyDescent="0.4">
      <c r="C128" s="190"/>
      <c r="D128" s="78"/>
      <c r="E128" s="34"/>
      <c r="F128" s="35"/>
    </row>
    <row r="129" spans="3:17" s="195" customFormat="1" ht="16" thickBot="1" x14ac:dyDescent="0.4">
      <c r="C129" s="197"/>
      <c r="D129" s="198" t="s">
        <v>22</v>
      </c>
      <c r="E129" s="199">
        <f>SUM(E113:E128)</f>
        <v>6312500</v>
      </c>
      <c r="F129" s="200"/>
      <c r="G129" s="57"/>
      <c r="H129"/>
      <c r="I129"/>
      <c r="J129" s="57"/>
      <c r="Q129" s="57"/>
    </row>
    <row r="130" spans="3:17" x14ac:dyDescent="0.35">
      <c r="C130" s="11"/>
      <c r="D130" s="2"/>
      <c r="E130" s="196"/>
      <c r="F130" s="15"/>
      <c r="H130"/>
    </row>
    <row r="131" spans="3:17" x14ac:dyDescent="0.35">
      <c r="C131" s="8" t="s">
        <v>171</v>
      </c>
      <c r="D131" s="1" t="s">
        <v>179</v>
      </c>
      <c r="E131" s="7">
        <v>4975000</v>
      </c>
      <c r="F131" s="16"/>
      <c r="H131"/>
    </row>
    <row r="132" spans="3:17" x14ac:dyDescent="0.35">
      <c r="C132" s="8" t="s">
        <v>171</v>
      </c>
      <c r="D132" s="4" t="s">
        <v>180</v>
      </c>
      <c r="E132" s="10">
        <v>1337500</v>
      </c>
      <c r="F132" s="40"/>
      <c r="H132"/>
    </row>
    <row r="133" spans="3:17" ht="15" thickBot="1" x14ac:dyDescent="0.4">
      <c r="C133" s="9"/>
      <c r="D133" s="4"/>
      <c r="E133" s="10"/>
      <c r="F133" s="40"/>
      <c r="H133"/>
    </row>
    <row r="134" spans="3:17" ht="15" thickBot="1" x14ac:dyDescent="0.4">
      <c r="C134" s="12"/>
      <c r="D134" s="3" t="s">
        <v>44</v>
      </c>
      <c r="E134" s="13">
        <f>E129-SUM(E130:E133)</f>
        <v>0</v>
      </c>
      <c r="F134" s="14"/>
      <c r="H134"/>
    </row>
    <row r="135" spans="3:17" x14ac:dyDescent="0.35">
      <c r="H135"/>
    </row>
    <row r="136" spans="3:17" x14ac:dyDescent="0.35">
      <c r="H136"/>
    </row>
    <row r="137" spans="3:17" x14ac:dyDescent="0.35">
      <c r="H137"/>
    </row>
    <row r="138" spans="3:17" x14ac:dyDescent="0.35">
      <c r="H138"/>
    </row>
    <row r="139" spans="3:17" ht="19" thickBot="1" x14ac:dyDescent="0.5">
      <c r="C139" s="264" t="s">
        <v>199</v>
      </c>
      <c r="D139" s="264"/>
      <c r="E139" s="264"/>
      <c r="F139" s="264"/>
      <c r="H139"/>
    </row>
    <row r="140" spans="3:17" s="5" customFormat="1" ht="29.5" thickBot="1" x14ac:dyDescent="0.4">
      <c r="C140" s="203" t="s">
        <v>0</v>
      </c>
      <c r="D140" s="204" t="s">
        <v>24</v>
      </c>
      <c r="E140" s="204" t="s">
        <v>5</v>
      </c>
      <c r="F140" s="205" t="s">
        <v>1</v>
      </c>
      <c r="G140" s="56"/>
      <c r="I140" s="68" t="s">
        <v>89</v>
      </c>
      <c r="J140" s="69" t="s">
        <v>60</v>
      </c>
      <c r="K140" s="69" t="s">
        <v>61</v>
      </c>
      <c r="L140" s="69" t="s">
        <v>62</v>
      </c>
      <c r="M140" s="69" t="s">
        <v>65</v>
      </c>
      <c r="N140" s="69" t="s">
        <v>66</v>
      </c>
      <c r="O140" s="69" t="s">
        <v>5</v>
      </c>
      <c r="P140" s="69" t="s">
        <v>67</v>
      </c>
      <c r="Q140" s="70" t="s">
        <v>64</v>
      </c>
    </row>
    <row r="141" spans="3:17" x14ac:dyDescent="0.35">
      <c r="C141" s="191"/>
      <c r="D141" s="192"/>
      <c r="E141" s="193"/>
      <c r="F141" s="194"/>
      <c r="H141"/>
      <c r="I141" s="74"/>
      <c r="J141" s="75"/>
      <c r="K141" s="75"/>
      <c r="L141" s="75"/>
      <c r="M141" s="75"/>
      <c r="N141" s="75"/>
      <c r="O141" s="75"/>
      <c r="P141" s="75"/>
      <c r="Q141" s="76"/>
    </row>
    <row r="142" spans="3:17" x14ac:dyDescent="0.35">
      <c r="C142" s="8" t="s">
        <v>167</v>
      </c>
      <c r="D142" s="1" t="s">
        <v>168</v>
      </c>
      <c r="E142" s="7">
        <v>2500000</v>
      </c>
      <c r="F142" s="16" t="s">
        <v>169</v>
      </c>
      <c r="I142" s="8" t="s">
        <v>169</v>
      </c>
      <c r="J142" s="54">
        <v>45968</v>
      </c>
      <c r="K142" s="79">
        <v>45993</v>
      </c>
      <c r="L142" s="55">
        <f>+K142-J142</f>
        <v>25</v>
      </c>
      <c r="M142" s="55">
        <v>3</v>
      </c>
      <c r="N142" s="55">
        <f>L142-M142</f>
        <v>22</v>
      </c>
      <c r="O142" s="7">
        <v>25</v>
      </c>
      <c r="P142" s="7">
        <v>100</v>
      </c>
      <c r="Q142" s="16">
        <f>+N142*O142*(P142)</f>
        <v>55000</v>
      </c>
    </row>
    <row r="143" spans="3:17" x14ac:dyDescent="0.35">
      <c r="C143" s="8" t="s">
        <v>167</v>
      </c>
      <c r="D143" s="1" t="s">
        <v>170</v>
      </c>
      <c r="E143" s="7">
        <f>25*500</f>
        <v>12500</v>
      </c>
      <c r="F143" s="16" t="s">
        <v>169</v>
      </c>
      <c r="I143" s="8" t="s">
        <v>7</v>
      </c>
      <c r="J143" s="54">
        <v>45972</v>
      </c>
      <c r="K143" s="79">
        <v>45993</v>
      </c>
      <c r="L143" s="55">
        <f t="shared" ref="L143:L145" si="11">+K143-J143</f>
        <v>21</v>
      </c>
      <c r="M143" s="55">
        <v>3</v>
      </c>
      <c r="N143" s="55">
        <f>L143-M143</f>
        <v>18</v>
      </c>
      <c r="O143" s="7">
        <v>3</v>
      </c>
      <c r="P143" s="7">
        <v>100</v>
      </c>
      <c r="Q143" s="16">
        <f>+N143*O143*P143</f>
        <v>5400</v>
      </c>
    </row>
    <row r="144" spans="3:17" x14ac:dyDescent="0.35">
      <c r="C144" s="8" t="s">
        <v>175</v>
      </c>
      <c r="D144" s="1" t="s">
        <v>176</v>
      </c>
      <c r="E144" s="7">
        <v>300000</v>
      </c>
      <c r="F144" s="16" t="s">
        <v>7</v>
      </c>
      <c r="I144" s="8" t="s">
        <v>14</v>
      </c>
      <c r="J144" s="79">
        <v>45976</v>
      </c>
      <c r="K144" s="79">
        <v>45993</v>
      </c>
      <c r="L144" s="55">
        <f t="shared" si="11"/>
        <v>17</v>
      </c>
      <c r="M144" s="55">
        <v>3</v>
      </c>
      <c r="N144" s="55">
        <f>L144-M144</f>
        <v>14</v>
      </c>
      <c r="O144" s="7">
        <v>13</v>
      </c>
      <c r="P144" s="7">
        <v>100</v>
      </c>
      <c r="Q144" s="16">
        <f t="shared" ref="Q144:Q145" si="12">+N144*O144*P144</f>
        <v>18200</v>
      </c>
    </row>
    <row r="145" spans="3:17" x14ac:dyDescent="0.35">
      <c r="C145" s="8" t="s">
        <v>175</v>
      </c>
      <c r="D145" s="1" t="s">
        <v>174</v>
      </c>
      <c r="E145" s="7">
        <v>1500</v>
      </c>
      <c r="F145" s="16" t="s">
        <v>7</v>
      </c>
      <c r="I145" s="8" t="s">
        <v>185</v>
      </c>
      <c r="J145" s="79">
        <v>45976</v>
      </c>
      <c r="K145" s="79">
        <v>45993</v>
      </c>
      <c r="L145" s="55">
        <f t="shared" si="11"/>
        <v>17</v>
      </c>
      <c r="M145" s="55">
        <v>3</v>
      </c>
      <c r="N145" s="55">
        <f t="shared" ref="N145" si="13">L145-M145</f>
        <v>14</v>
      </c>
      <c r="O145" s="7">
        <v>2</v>
      </c>
      <c r="P145" s="7">
        <v>100</v>
      </c>
      <c r="Q145" s="16">
        <f t="shared" si="12"/>
        <v>2800</v>
      </c>
    </row>
    <row r="146" spans="3:17" x14ac:dyDescent="0.35">
      <c r="C146" s="8" t="s">
        <v>175</v>
      </c>
      <c r="D146" s="4" t="s">
        <v>181</v>
      </c>
      <c r="E146" s="10">
        <v>503000</v>
      </c>
      <c r="F146" s="40" t="s">
        <v>14</v>
      </c>
      <c r="I146" s="8" t="s">
        <v>7</v>
      </c>
      <c r="J146" s="79">
        <v>45979</v>
      </c>
      <c r="K146" s="79">
        <v>45993</v>
      </c>
      <c r="L146" s="55">
        <f t="shared" ref="L146" si="14">+K146-J146</f>
        <v>14</v>
      </c>
      <c r="M146" s="55">
        <v>3</v>
      </c>
      <c r="N146" s="55">
        <f t="shared" ref="N146" si="15">L146-M146</f>
        <v>11</v>
      </c>
      <c r="O146" s="7">
        <v>2</v>
      </c>
      <c r="P146" s="7">
        <v>100</v>
      </c>
      <c r="Q146" s="16">
        <f t="shared" ref="Q146" si="16">+N146*O146*P146</f>
        <v>2200</v>
      </c>
    </row>
    <row r="147" spans="3:17" x14ac:dyDescent="0.35">
      <c r="C147" s="9" t="s">
        <v>183</v>
      </c>
      <c r="D147" s="4" t="s">
        <v>184</v>
      </c>
      <c r="E147" s="10">
        <v>1300000</v>
      </c>
      <c r="F147" s="40" t="s">
        <v>14</v>
      </c>
      <c r="I147" s="265" t="s">
        <v>14</v>
      </c>
      <c r="J147" s="79">
        <v>45980</v>
      </c>
      <c r="K147" s="79">
        <v>45993</v>
      </c>
      <c r="L147" s="55">
        <f t="shared" ref="L147:L148" si="17">+K147-J147</f>
        <v>13</v>
      </c>
      <c r="M147" s="55">
        <v>3</v>
      </c>
      <c r="N147" s="55">
        <f t="shared" ref="N147:N148" si="18">L147-M147</f>
        <v>10</v>
      </c>
      <c r="O147" s="7">
        <v>15</v>
      </c>
      <c r="P147" s="7">
        <v>100</v>
      </c>
      <c r="Q147" s="16">
        <f t="shared" ref="Q147:Q148" si="19">+N147*O147*P147</f>
        <v>15000</v>
      </c>
    </row>
    <row r="148" spans="3:17" x14ac:dyDescent="0.35">
      <c r="C148" s="9" t="s">
        <v>183</v>
      </c>
      <c r="D148" s="4" t="s">
        <v>160</v>
      </c>
      <c r="E148" s="10">
        <f>650*13</f>
        <v>8450</v>
      </c>
      <c r="F148" s="40" t="s">
        <v>14</v>
      </c>
      <c r="I148" s="266"/>
      <c r="J148" s="79">
        <v>45981</v>
      </c>
      <c r="K148" s="79">
        <v>46004</v>
      </c>
      <c r="L148" s="55">
        <f t="shared" si="17"/>
        <v>23</v>
      </c>
      <c r="M148" s="55">
        <v>3</v>
      </c>
      <c r="N148" s="55">
        <f t="shared" si="18"/>
        <v>20</v>
      </c>
      <c r="O148" s="7">
        <v>35</v>
      </c>
      <c r="P148" s="7">
        <v>100</v>
      </c>
      <c r="Q148" s="16">
        <f t="shared" si="19"/>
        <v>70000</v>
      </c>
    </row>
    <row r="149" spans="3:17" x14ac:dyDescent="0.35">
      <c r="C149" s="9" t="s">
        <v>183</v>
      </c>
      <c r="D149" s="4" t="s">
        <v>186</v>
      </c>
      <c r="E149" s="10">
        <v>200000</v>
      </c>
      <c r="F149" s="40" t="s">
        <v>185</v>
      </c>
      <c r="I149" s="8" t="s">
        <v>13</v>
      </c>
      <c r="J149" s="79">
        <v>45981</v>
      </c>
      <c r="K149" s="79">
        <v>46004</v>
      </c>
      <c r="L149" s="55">
        <f t="shared" ref="L149:L151" si="20">+K149-J149</f>
        <v>23</v>
      </c>
      <c r="M149" s="55">
        <v>3</v>
      </c>
      <c r="N149" s="55">
        <f t="shared" ref="N149:N151" si="21">L149-M149</f>
        <v>20</v>
      </c>
      <c r="O149" s="7">
        <v>3</v>
      </c>
      <c r="P149" s="7">
        <v>100</v>
      </c>
      <c r="Q149" s="16">
        <f t="shared" ref="Q149:Q151" si="22">+N149*O149*P149</f>
        <v>6000</v>
      </c>
    </row>
    <row r="150" spans="3:17" x14ac:dyDescent="0.35">
      <c r="C150" s="9" t="s">
        <v>183</v>
      </c>
      <c r="D150" s="4" t="s">
        <v>187</v>
      </c>
      <c r="E150" s="10">
        <v>3400</v>
      </c>
      <c r="F150" s="40" t="s">
        <v>185</v>
      </c>
      <c r="I150" s="8" t="s">
        <v>14</v>
      </c>
      <c r="J150" s="79">
        <v>45981</v>
      </c>
      <c r="K150" s="79">
        <v>46004</v>
      </c>
      <c r="L150" s="55">
        <f t="shared" si="20"/>
        <v>23</v>
      </c>
      <c r="M150" s="55">
        <v>3</v>
      </c>
      <c r="N150" s="55">
        <f t="shared" si="21"/>
        <v>20</v>
      </c>
      <c r="O150" s="7">
        <v>10</v>
      </c>
      <c r="P150" s="7">
        <v>100</v>
      </c>
      <c r="Q150" s="16">
        <f t="shared" si="22"/>
        <v>20000</v>
      </c>
    </row>
    <row r="151" spans="3:17" x14ac:dyDescent="0.35">
      <c r="C151" s="9" t="s">
        <v>198</v>
      </c>
      <c r="D151" s="1" t="s">
        <v>176</v>
      </c>
      <c r="E151" s="10">
        <v>200000</v>
      </c>
      <c r="F151" s="40" t="s">
        <v>14</v>
      </c>
      <c r="I151" s="9" t="s">
        <v>158</v>
      </c>
      <c r="J151" s="79">
        <v>45982</v>
      </c>
      <c r="K151" s="79">
        <v>46004</v>
      </c>
      <c r="L151" s="55">
        <f t="shared" si="20"/>
        <v>22</v>
      </c>
      <c r="M151" s="55">
        <v>3</v>
      </c>
      <c r="N151" s="55">
        <f t="shared" si="21"/>
        <v>19</v>
      </c>
      <c r="O151" s="7">
        <v>1.5</v>
      </c>
      <c r="P151" s="7">
        <v>100</v>
      </c>
      <c r="Q151" s="16">
        <f t="shared" si="22"/>
        <v>2850</v>
      </c>
    </row>
    <row r="152" spans="3:17" x14ac:dyDescent="0.35">
      <c r="C152" s="9" t="s">
        <v>198</v>
      </c>
      <c r="D152" s="1" t="s">
        <v>174</v>
      </c>
      <c r="E152" s="7">
        <v>1000</v>
      </c>
      <c r="F152" s="40" t="s">
        <v>14</v>
      </c>
      <c r="I152" s="9" t="s">
        <v>7</v>
      </c>
      <c r="J152" s="79">
        <v>45997</v>
      </c>
      <c r="K152" s="79">
        <v>46005</v>
      </c>
      <c r="L152" s="55">
        <f t="shared" ref="L152:L155" si="23">+K152-J152</f>
        <v>8</v>
      </c>
      <c r="M152" s="55">
        <v>3</v>
      </c>
      <c r="N152" s="55">
        <f t="shared" ref="N152:N155" si="24">L152-M152</f>
        <v>5</v>
      </c>
      <c r="O152" s="55">
        <v>7</v>
      </c>
      <c r="P152" s="7">
        <v>100</v>
      </c>
      <c r="Q152" s="16">
        <f t="shared" ref="Q152:Q155" si="25">+N152*O152*P152</f>
        <v>3500</v>
      </c>
    </row>
    <row r="153" spans="3:17" x14ac:dyDescent="0.35">
      <c r="C153" s="9" t="s">
        <v>188</v>
      </c>
      <c r="D153" s="4" t="s">
        <v>195</v>
      </c>
      <c r="E153" s="10">
        <v>5000000</v>
      </c>
      <c r="F153" s="40" t="s">
        <v>14</v>
      </c>
      <c r="I153" s="9" t="s">
        <v>185</v>
      </c>
      <c r="J153" s="79">
        <v>45997</v>
      </c>
      <c r="K153" s="79">
        <v>46005</v>
      </c>
      <c r="L153" s="55">
        <f t="shared" si="23"/>
        <v>8</v>
      </c>
      <c r="M153" s="55">
        <v>3</v>
      </c>
      <c r="N153" s="55">
        <f t="shared" si="24"/>
        <v>5</v>
      </c>
      <c r="O153" s="55">
        <v>10</v>
      </c>
      <c r="P153" s="7">
        <v>100</v>
      </c>
      <c r="Q153" s="16">
        <f t="shared" si="25"/>
        <v>5000</v>
      </c>
    </row>
    <row r="154" spans="3:17" x14ac:dyDescent="0.35">
      <c r="C154" s="9" t="s">
        <v>188</v>
      </c>
      <c r="D154" s="4" t="s">
        <v>189</v>
      </c>
      <c r="E154" s="10">
        <f>50*650</f>
        <v>32500</v>
      </c>
      <c r="F154" s="40" t="s">
        <v>14</v>
      </c>
      <c r="I154" s="9" t="s">
        <v>14</v>
      </c>
      <c r="J154" s="79">
        <v>45997</v>
      </c>
      <c r="K154" s="79">
        <v>46005</v>
      </c>
      <c r="L154" s="55">
        <f t="shared" si="23"/>
        <v>8</v>
      </c>
      <c r="M154" s="55">
        <v>3</v>
      </c>
      <c r="N154" s="55">
        <f t="shared" si="24"/>
        <v>5</v>
      </c>
      <c r="O154" s="55">
        <v>1</v>
      </c>
      <c r="P154" s="7">
        <v>100</v>
      </c>
      <c r="Q154" s="16">
        <f t="shared" si="25"/>
        <v>500</v>
      </c>
    </row>
    <row r="155" spans="3:17" x14ac:dyDescent="0.35">
      <c r="C155" s="9" t="s">
        <v>188</v>
      </c>
      <c r="D155" s="4" t="s">
        <v>190</v>
      </c>
      <c r="E155" s="10">
        <v>9500</v>
      </c>
      <c r="F155" s="40" t="s">
        <v>3</v>
      </c>
      <c r="I155" s="9" t="s">
        <v>14</v>
      </c>
      <c r="J155" s="79">
        <v>45999</v>
      </c>
      <c r="K155" s="79">
        <v>46005</v>
      </c>
      <c r="L155" s="55">
        <f t="shared" si="23"/>
        <v>6</v>
      </c>
      <c r="M155" s="55">
        <v>3</v>
      </c>
      <c r="N155" s="55">
        <f t="shared" si="24"/>
        <v>3</v>
      </c>
      <c r="O155" s="55">
        <v>8</v>
      </c>
      <c r="P155" s="7">
        <v>100</v>
      </c>
      <c r="Q155" s="16">
        <f t="shared" si="25"/>
        <v>2400</v>
      </c>
    </row>
    <row r="156" spans="3:17" x14ac:dyDescent="0.35">
      <c r="C156" s="9" t="s">
        <v>191</v>
      </c>
      <c r="D156" s="4" t="s">
        <v>165</v>
      </c>
      <c r="E156" s="10">
        <v>300000</v>
      </c>
      <c r="F156" s="40" t="s">
        <v>13</v>
      </c>
      <c r="I156" s="9"/>
      <c r="J156" s="79"/>
      <c r="K156" s="79"/>
      <c r="L156" s="55"/>
      <c r="M156" s="55"/>
      <c r="N156" s="55"/>
      <c r="O156" s="7"/>
      <c r="P156" s="7"/>
      <c r="Q156" s="16"/>
    </row>
    <row r="157" spans="3:17" x14ac:dyDescent="0.35">
      <c r="C157" s="9" t="s">
        <v>191</v>
      </c>
      <c r="D157" s="4" t="s">
        <v>41</v>
      </c>
      <c r="E157" s="10">
        <v>1200</v>
      </c>
      <c r="F157" s="40" t="s">
        <v>13</v>
      </c>
      <c r="I157" s="9"/>
      <c r="J157" s="79"/>
      <c r="K157" s="79"/>
      <c r="L157" s="55"/>
      <c r="M157" s="55"/>
      <c r="N157" s="55"/>
      <c r="O157" s="7"/>
      <c r="P157" s="7"/>
      <c r="Q157" s="16"/>
    </row>
    <row r="158" spans="3:17" ht="15" thickBot="1" x14ac:dyDescent="0.4">
      <c r="C158" s="9" t="s">
        <v>191</v>
      </c>
      <c r="D158" s="4" t="s">
        <v>192</v>
      </c>
      <c r="E158" s="10">
        <v>1000000</v>
      </c>
      <c r="F158" s="40" t="s">
        <v>14</v>
      </c>
      <c r="I158" s="9"/>
      <c r="J158" s="79"/>
      <c r="K158" s="79"/>
      <c r="L158" s="55"/>
      <c r="M158" s="55"/>
      <c r="N158" s="55"/>
      <c r="O158" s="7"/>
      <c r="P158" s="7"/>
      <c r="Q158" s="16"/>
    </row>
    <row r="159" spans="3:17" ht="15" thickBot="1" x14ac:dyDescent="0.4">
      <c r="C159" s="9" t="s">
        <v>191</v>
      </c>
      <c r="D159" s="4" t="s">
        <v>189</v>
      </c>
      <c r="E159" s="10">
        <v>6500</v>
      </c>
      <c r="F159" s="40" t="s">
        <v>14</v>
      </c>
      <c r="I159" s="12"/>
      <c r="J159" s="13"/>
      <c r="K159" s="13"/>
      <c r="L159" s="13"/>
      <c r="M159" s="13"/>
      <c r="N159" s="13"/>
      <c r="O159" s="13">
        <f>SUM(O142:O156)</f>
        <v>135.5</v>
      </c>
      <c r="P159" s="13"/>
      <c r="Q159" s="14">
        <f>SUM(Q142:Q156)</f>
        <v>208850</v>
      </c>
    </row>
    <row r="160" spans="3:17" ht="15" thickBot="1" x14ac:dyDescent="0.4">
      <c r="C160" s="9" t="s">
        <v>193</v>
      </c>
      <c r="D160" s="4" t="s">
        <v>196</v>
      </c>
      <c r="E160" s="10">
        <v>150000</v>
      </c>
      <c r="F160" s="40" t="s">
        <v>14</v>
      </c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3:17" x14ac:dyDescent="0.35">
      <c r="C161" s="191" t="s">
        <v>213</v>
      </c>
      <c r="D161" s="211" t="s">
        <v>230</v>
      </c>
      <c r="E161" s="212">
        <v>300000</v>
      </c>
      <c r="F161" s="213" t="s">
        <v>15</v>
      </c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3:17" x14ac:dyDescent="0.35">
      <c r="C162" s="188" t="s">
        <v>213</v>
      </c>
      <c r="D162" s="208" t="s">
        <v>221</v>
      </c>
      <c r="E162" s="209">
        <v>2100</v>
      </c>
      <c r="F162" s="214" t="s">
        <v>15</v>
      </c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3:17" x14ac:dyDescent="0.35">
      <c r="C163" s="188" t="s">
        <v>214</v>
      </c>
      <c r="D163" s="208" t="s">
        <v>222</v>
      </c>
      <c r="E163" s="209">
        <v>400000</v>
      </c>
      <c r="F163" s="214" t="s">
        <v>215</v>
      </c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3:17" x14ac:dyDescent="0.35">
      <c r="C164" s="188" t="s">
        <v>214</v>
      </c>
      <c r="D164" s="208" t="s">
        <v>223</v>
      </c>
      <c r="E164" s="209">
        <v>1200</v>
      </c>
      <c r="F164" s="214" t="s">
        <v>215</v>
      </c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3:17" x14ac:dyDescent="0.35">
      <c r="C165" s="188" t="s">
        <v>214</v>
      </c>
      <c r="D165" s="208" t="s">
        <v>216</v>
      </c>
      <c r="E165" s="209">
        <v>1800000</v>
      </c>
      <c r="F165" s="214" t="s">
        <v>15</v>
      </c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3:17" x14ac:dyDescent="0.35">
      <c r="C166" s="188" t="s">
        <v>214</v>
      </c>
      <c r="D166" s="208" t="s">
        <v>220</v>
      </c>
      <c r="E166" s="209">
        <v>3600</v>
      </c>
      <c r="F166" s="214" t="s">
        <v>15</v>
      </c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3:17" x14ac:dyDescent="0.35">
      <c r="C167" s="188" t="s">
        <v>217</v>
      </c>
      <c r="D167" s="208" t="s">
        <v>218</v>
      </c>
      <c r="E167" s="209">
        <v>1000000</v>
      </c>
      <c r="F167" s="214" t="s">
        <v>7</v>
      </c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3:17" x14ac:dyDescent="0.35">
      <c r="C168" s="188" t="s">
        <v>217</v>
      </c>
      <c r="D168" s="208" t="s">
        <v>224</v>
      </c>
      <c r="E168" s="209">
        <v>4000</v>
      </c>
      <c r="F168" s="214" t="s">
        <v>7</v>
      </c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3:17" x14ac:dyDescent="0.35">
      <c r="C169" s="188" t="s">
        <v>217</v>
      </c>
      <c r="D169" s="208" t="s">
        <v>186</v>
      </c>
      <c r="E169" s="209">
        <v>1000000</v>
      </c>
      <c r="F169" s="214" t="s">
        <v>185</v>
      </c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3:17" x14ac:dyDescent="0.35">
      <c r="C170" s="188" t="s">
        <v>217</v>
      </c>
      <c r="D170" s="208" t="s">
        <v>225</v>
      </c>
      <c r="E170" s="209">
        <v>3500</v>
      </c>
      <c r="F170" s="214" t="s">
        <v>185</v>
      </c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3:17" x14ac:dyDescent="0.35">
      <c r="C171" s="188" t="s">
        <v>217</v>
      </c>
      <c r="D171" s="208" t="s">
        <v>219</v>
      </c>
      <c r="E171" s="209">
        <v>100000</v>
      </c>
      <c r="F171" s="214" t="s">
        <v>14</v>
      </c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3:17" x14ac:dyDescent="0.35">
      <c r="C172" s="8" t="s">
        <v>226</v>
      </c>
      <c r="D172" s="210" t="s">
        <v>227</v>
      </c>
      <c r="E172" s="7">
        <v>805000</v>
      </c>
      <c r="F172" s="214" t="s">
        <v>14</v>
      </c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3:17" x14ac:dyDescent="0.35">
      <c r="C173" s="9" t="s">
        <v>231</v>
      </c>
      <c r="D173" s="4" t="s">
        <v>194</v>
      </c>
      <c r="E173" s="10">
        <f>+Q159</f>
        <v>208850</v>
      </c>
      <c r="F173" s="40" t="s">
        <v>14</v>
      </c>
    </row>
    <row r="174" spans="3:17" x14ac:dyDescent="0.35">
      <c r="C174" s="9" t="s">
        <v>240</v>
      </c>
      <c r="D174" s="1" t="s">
        <v>243</v>
      </c>
      <c r="E174" s="7">
        <v>3000000</v>
      </c>
      <c r="F174" s="40" t="s">
        <v>243</v>
      </c>
    </row>
    <row r="175" spans="3:17" x14ac:dyDescent="0.35">
      <c r="C175" s="9" t="s">
        <v>240</v>
      </c>
      <c r="D175" s="4" t="s">
        <v>244</v>
      </c>
      <c r="E175" s="10">
        <v>12000</v>
      </c>
      <c r="F175" s="40" t="s">
        <v>243</v>
      </c>
    </row>
    <row r="176" spans="3:17" x14ac:dyDescent="0.35">
      <c r="C176" s="9"/>
      <c r="D176" s="4"/>
      <c r="E176" s="10"/>
      <c r="F176" s="40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3:6" ht="15" thickBot="1" x14ac:dyDescent="0.4">
      <c r="C177" s="190"/>
      <c r="D177" s="78"/>
      <c r="E177" s="34"/>
      <c r="F177" s="35"/>
    </row>
    <row r="178" spans="3:6" ht="16" thickBot="1" x14ac:dyDescent="0.4">
      <c r="C178" s="197"/>
      <c r="D178" s="198" t="s">
        <v>22</v>
      </c>
      <c r="E178" s="199">
        <f>SUM(E141:E177)</f>
        <v>20169800</v>
      </c>
      <c r="F178" s="200"/>
    </row>
    <row r="179" spans="3:6" x14ac:dyDescent="0.35">
      <c r="C179" s="8" t="s">
        <v>171</v>
      </c>
      <c r="D179" s="4" t="s">
        <v>180</v>
      </c>
      <c r="E179" s="10">
        <v>165500</v>
      </c>
      <c r="F179" s="40"/>
    </row>
    <row r="180" spans="3:6" x14ac:dyDescent="0.35">
      <c r="C180" s="8" t="s">
        <v>171</v>
      </c>
      <c r="D180" s="4" t="s">
        <v>182</v>
      </c>
      <c r="E180" s="10">
        <f>5248000-5143000</f>
        <v>105000</v>
      </c>
      <c r="F180" s="40"/>
    </row>
    <row r="181" spans="3:6" x14ac:dyDescent="0.35">
      <c r="C181" s="8" t="s">
        <v>171</v>
      </c>
      <c r="D181" s="4" t="s">
        <v>212</v>
      </c>
      <c r="E181" s="10">
        <v>6400000</v>
      </c>
      <c r="F181" s="40"/>
    </row>
    <row r="182" spans="3:6" x14ac:dyDescent="0.35">
      <c r="C182" s="8" t="s">
        <v>171</v>
      </c>
      <c r="D182" s="4" t="s">
        <v>228</v>
      </c>
      <c r="E182" s="10">
        <v>2503000</v>
      </c>
      <c r="F182" s="40"/>
    </row>
    <row r="183" spans="3:6" x14ac:dyDescent="0.35">
      <c r="C183" s="8" t="s">
        <v>171</v>
      </c>
      <c r="D183" s="4" t="s">
        <v>229</v>
      </c>
      <c r="E183" s="10">
        <v>300000</v>
      </c>
      <c r="F183" s="40"/>
    </row>
    <row r="184" spans="3:6" x14ac:dyDescent="0.35">
      <c r="C184" s="8" t="s">
        <v>171</v>
      </c>
      <c r="D184" s="4" t="s">
        <v>232</v>
      </c>
      <c r="E184" s="10">
        <v>7645000</v>
      </c>
      <c r="F184" s="40"/>
    </row>
    <row r="185" spans="3:6" x14ac:dyDescent="0.35">
      <c r="C185" s="8"/>
      <c r="D185" s="4" t="s">
        <v>249</v>
      </c>
      <c r="E185" s="10">
        <v>3057000</v>
      </c>
      <c r="F185" s="40"/>
    </row>
    <row r="186" spans="3:6" x14ac:dyDescent="0.35">
      <c r="C186" s="9"/>
      <c r="D186" s="4"/>
      <c r="E186" s="10"/>
      <c r="F186" s="40"/>
    </row>
    <row r="187" spans="3:6" ht="15" thickBot="1" x14ac:dyDescent="0.4">
      <c r="C187" s="9"/>
      <c r="D187" s="4"/>
      <c r="E187" s="10"/>
      <c r="F187" s="40"/>
    </row>
    <row r="188" spans="3:6" ht="19" thickBot="1" x14ac:dyDescent="0.5">
      <c r="C188" s="12"/>
      <c r="D188" s="202" t="s">
        <v>44</v>
      </c>
      <c r="E188" s="201">
        <f>E178-E179-E180-E181-E182-E183-E184</f>
        <v>3051300</v>
      </c>
      <c r="F188" s="14"/>
    </row>
    <row r="191" spans="3:6" x14ac:dyDescent="0.35">
      <c r="C191" s="7" t="s">
        <v>177</v>
      </c>
      <c r="D191" s="1" t="s">
        <v>178</v>
      </c>
      <c r="E191" s="7">
        <v>5143000</v>
      </c>
      <c r="F191" s="7" t="s">
        <v>14</v>
      </c>
    </row>
    <row r="192" spans="3:6" ht="15" thickBot="1" x14ac:dyDescent="0.4"/>
    <row r="193" spans="3:5" x14ac:dyDescent="0.35">
      <c r="C193" s="177" t="s">
        <v>280</v>
      </c>
      <c r="D193" s="60" t="s">
        <v>96</v>
      </c>
      <c r="E193" s="61">
        <v>5000000</v>
      </c>
    </row>
    <row r="194" spans="3:5" x14ac:dyDescent="0.35">
      <c r="C194" s="8" t="s">
        <v>280</v>
      </c>
      <c r="D194" s="1" t="s">
        <v>281</v>
      </c>
      <c r="E194" s="16">
        <f>50*500</f>
        <v>25000</v>
      </c>
    </row>
    <row r="195" spans="3:5" x14ac:dyDescent="0.35">
      <c r="C195" s="8" t="s">
        <v>280</v>
      </c>
      <c r="D195" s="1" t="s">
        <v>15</v>
      </c>
      <c r="E195" s="16">
        <v>2000000</v>
      </c>
    </row>
    <row r="196" spans="3:5" x14ac:dyDescent="0.35">
      <c r="C196" s="8" t="s">
        <v>280</v>
      </c>
      <c r="D196" s="1" t="s">
        <v>282</v>
      </c>
      <c r="E196" s="16">
        <v>14000</v>
      </c>
    </row>
    <row r="197" spans="3:5" x14ac:dyDescent="0.35">
      <c r="C197" s="8" t="s">
        <v>280</v>
      </c>
      <c r="D197" s="1" t="s">
        <v>7</v>
      </c>
      <c r="E197" s="16">
        <v>650000</v>
      </c>
    </row>
    <row r="198" spans="3:5" x14ac:dyDescent="0.35">
      <c r="C198" s="8" t="s">
        <v>280</v>
      </c>
      <c r="D198" s="1" t="s">
        <v>283</v>
      </c>
      <c r="E198" s="16">
        <v>4600</v>
      </c>
    </row>
    <row r="199" spans="3:5" x14ac:dyDescent="0.35">
      <c r="C199" s="8" t="s">
        <v>280</v>
      </c>
      <c r="D199" s="1" t="s">
        <v>11</v>
      </c>
      <c r="E199" s="16">
        <v>684000</v>
      </c>
    </row>
    <row r="200" spans="3:5" x14ac:dyDescent="0.35">
      <c r="C200" s="8" t="s">
        <v>280</v>
      </c>
      <c r="D200" s="1" t="s">
        <v>284</v>
      </c>
      <c r="E200" s="16">
        <v>4800</v>
      </c>
    </row>
    <row r="201" spans="3:5" x14ac:dyDescent="0.35">
      <c r="C201" s="8" t="s">
        <v>280</v>
      </c>
      <c r="D201" s="1" t="s">
        <v>285</v>
      </c>
      <c r="E201" s="16">
        <v>1829000</v>
      </c>
    </row>
    <row r="202" spans="3:5" x14ac:dyDescent="0.35">
      <c r="C202" s="8" t="s">
        <v>280</v>
      </c>
      <c r="D202" s="1" t="s">
        <v>286</v>
      </c>
      <c r="E202" s="16">
        <v>12800</v>
      </c>
    </row>
    <row r="203" spans="3:5" x14ac:dyDescent="0.35">
      <c r="C203" s="8" t="s">
        <v>280</v>
      </c>
      <c r="D203" s="4" t="s">
        <v>13</v>
      </c>
      <c r="E203" s="40">
        <v>500000</v>
      </c>
    </row>
    <row r="204" spans="3:5" x14ac:dyDescent="0.35">
      <c r="C204" s="8" t="s">
        <v>280</v>
      </c>
      <c r="D204" s="4" t="s">
        <v>41</v>
      </c>
      <c r="E204" s="40">
        <v>2000</v>
      </c>
    </row>
    <row r="205" spans="3:5" x14ac:dyDescent="0.35">
      <c r="C205" s="8" t="s">
        <v>288</v>
      </c>
      <c r="D205" s="4" t="s">
        <v>289</v>
      </c>
      <c r="E205" s="40">
        <v>1600000</v>
      </c>
    </row>
    <row r="206" spans="3:5" x14ac:dyDescent="0.35">
      <c r="C206" s="8" t="s">
        <v>288</v>
      </c>
      <c r="D206" s="4" t="s">
        <v>124</v>
      </c>
      <c r="E206" s="40">
        <f>16*500</f>
        <v>8000</v>
      </c>
    </row>
    <row r="207" spans="3:5" ht="15" thickBot="1" x14ac:dyDescent="0.4">
      <c r="C207" s="9"/>
      <c r="D207" s="4"/>
      <c r="E207" s="40"/>
    </row>
    <row r="208" spans="3:5" ht="15" thickBot="1" x14ac:dyDescent="0.4">
      <c r="C208" s="129"/>
      <c r="D208" s="224" t="s">
        <v>22</v>
      </c>
      <c r="E208" s="130">
        <f>SUM(E193:E207)</f>
        <v>12334200</v>
      </c>
    </row>
    <row r="209" spans="3:17" x14ac:dyDescent="0.35">
      <c r="C209" s="177"/>
      <c r="D209" s="60" t="s">
        <v>287</v>
      </c>
      <c r="E209" s="61">
        <v>3000000</v>
      </c>
    </row>
    <row r="210" spans="3:17" ht="15" thickBot="1" x14ac:dyDescent="0.4">
      <c r="C210" s="190"/>
      <c r="D210" s="78" t="s">
        <v>290</v>
      </c>
      <c r="E210" s="35">
        <v>9334200</v>
      </c>
    </row>
    <row r="211" spans="3:17" ht="15" thickBot="1" x14ac:dyDescent="0.4">
      <c r="C211" s="225"/>
      <c r="D211" s="226" t="s">
        <v>111</v>
      </c>
      <c r="E211" s="227">
        <f>E208-E209-E210</f>
        <v>0</v>
      </c>
    </row>
    <row r="214" spans="3:17" x14ac:dyDescent="0.35">
      <c r="D214" t="s">
        <v>259</v>
      </c>
      <c r="E214" s="6">
        <v>10000000</v>
      </c>
    </row>
    <row r="215" spans="3:17" x14ac:dyDescent="0.35">
      <c r="D215" t="s">
        <v>258</v>
      </c>
      <c r="E215" s="6">
        <v>2500000</v>
      </c>
    </row>
    <row r="221" spans="3:17" ht="19" thickBot="1" x14ac:dyDescent="0.5">
      <c r="C221" s="264" t="s">
        <v>266</v>
      </c>
      <c r="D221" s="264"/>
      <c r="E221" s="264"/>
      <c r="F221" s="264"/>
    </row>
    <row r="222" spans="3:17" ht="29.5" thickBot="1" x14ac:dyDescent="0.4">
      <c r="C222" s="203" t="s">
        <v>0</v>
      </c>
      <c r="D222" s="204" t="s">
        <v>24</v>
      </c>
      <c r="E222" s="204" t="s">
        <v>5</v>
      </c>
      <c r="F222" s="205" t="s">
        <v>1</v>
      </c>
      <c r="I222" s="68" t="s">
        <v>89</v>
      </c>
      <c r="J222" s="69" t="s">
        <v>60</v>
      </c>
      <c r="K222" s="69" t="s">
        <v>61</v>
      </c>
      <c r="L222" s="69" t="s">
        <v>62</v>
      </c>
      <c r="M222" s="69" t="s">
        <v>65</v>
      </c>
      <c r="N222" s="69" t="s">
        <v>66</v>
      </c>
      <c r="O222" s="69" t="s">
        <v>5</v>
      </c>
      <c r="P222" s="69" t="s">
        <v>67</v>
      </c>
      <c r="Q222" s="70" t="s">
        <v>64</v>
      </c>
    </row>
    <row r="223" spans="3:17" x14ac:dyDescent="0.35">
      <c r="C223" s="191"/>
      <c r="D223" s="192"/>
      <c r="E223" s="193"/>
      <c r="F223" s="194"/>
      <c r="I223" s="74"/>
      <c r="J223" s="75"/>
      <c r="K223" s="75"/>
      <c r="L223" s="75"/>
      <c r="M223" s="75"/>
      <c r="N223" s="75"/>
      <c r="O223" s="75"/>
      <c r="P223" s="75"/>
      <c r="Q223" s="76"/>
    </row>
    <row r="224" spans="3:17" x14ac:dyDescent="0.35">
      <c r="C224" s="8" t="s">
        <v>233</v>
      </c>
      <c r="D224" s="1" t="s">
        <v>234</v>
      </c>
      <c r="E224" s="7">
        <v>10000000</v>
      </c>
      <c r="F224" s="16" t="s">
        <v>14</v>
      </c>
      <c r="I224" s="218" t="s">
        <v>14</v>
      </c>
      <c r="J224" s="219">
        <v>46004</v>
      </c>
      <c r="K224" s="220">
        <v>46016</v>
      </c>
      <c r="L224" s="221">
        <f>+K224-J224</f>
        <v>12</v>
      </c>
      <c r="M224" s="222">
        <v>0</v>
      </c>
      <c r="N224" s="222">
        <f>L224-M224</f>
        <v>12</v>
      </c>
      <c r="O224" s="221">
        <v>100</v>
      </c>
      <c r="P224" s="221">
        <v>200</v>
      </c>
      <c r="Q224" s="223">
        <f>+N224*O224*(P224)</f>
        <v>240000</v>
      </c>
    </row>
    <row r="225" spans="3:17" x14ac:dyDescent="0.35">
      <c r="C225" s="8" t="s">
        <v>233</v>
      </c>
      <c r="D225" s="1" t="s">
        <v>160</v>
      </c>
      <c r="E225" s="7">
        <v>70000</v>
      </c>
      <c r="F225" s="16" t="s">
        <v>14</v>
      </c>
      <c r="I225" s="218" t="s">
        <v>169</v>
      </c>
      <c r="J225" s="219">
        <v>46002</v>
      </c>
      <c r="K225" s="220">
        <v>46031</v>
      </c>
      <c r="L225" s="221">
        <f t="shared" ref="L225" si="26">+K225-J225</f>
        <v>29</v>
      </c>
      <c r="M225" s="222">
        <v>0</v>
      </c>
      <c r="N225" s="222">
        <f>L225-M225</f>
        <v>29</v>
      </c>
      <c r="O225" s="221">
        <v>25</v>
      </c>
      <c r="P225" s="221">
        <v>200</v>
      </c>
      <c r="Q225" s="223">
        <f>+N225*O225*P225</f>
        <v>145000</v>
      </c>
    </row>
    <row r="226" spans="3:17" x14ac:dyDescent="0.35">
      <c r="C226" s="8" t="s">
        <v>267</v>
      </c>
      <c r="D226" s="1" t="s">
        <v>169</v>
      </c>
      <c r="E226" s="7">
        <v>2500000</v>
      </c>
      <c r="F226" s="16" t="s">
        <v>169</v>
      </c>
      <c r="I226" s="218" t="s">
        <v>248</v>
      </c>
      <c r="J226" s="219">
        <v>46008</v>
      </c>
      <c r="K226" s="220">
        <v>46031</v>
      </c>
      <c r="L226" s="221">
        <f>+K226-J226</f>
        <v>23</v>
      </c>
      <c r="M226" s="222">
        <v>0</v>
      </c>
      <c r="N226" s="222">
        <f t="shared" ref="N226" si="27">L226-M226</f>
        <v>23</v>
      </c>
      <c r="O226" s="221">
        <v>5</v>
      </c>
      <c r="P226" s="221">
        <v>200</v>
      </c>
      <c r="Q226" s="223">
        <f>+N226*O226*P226</f>
        <v>23000</v>
      </c>
    </row>
    <row r="227" spans="3:17" x14ac:dyDescent="0.35">
      <c r="C227" s="8" t="s">
        <v>235</v>
      </c>
      <c r="D227" s="1" t="s">
        <v>236</v>
      </c>
      <c r="E227" s="7">
        <v>12500</v>
      </c>
      <c r="F227" s="16" t="s">
        <v>169</v>
      </c>
      <c r="I227" s="218" t="s">
        <v>13</v>
      </c>
      <c r="J227" s="219">
        <v>46008</v>
      </c>
      <c r="K227" s="219">
        <v>46008</v>
      </c>
      <c r="L227" s="221">
        <f>+K227-J227</f>
        <v>0</v>
      </c>
      <c r="M227" s="222">
        <v>0</v>
      </c>
      <c r="N227" s="222">
        <f>L227-M227</f>
        <v>0</v>
      </c>
      <c r="O227" s="221">
        <v>15</v>
      </c>
      <c r="P227" s="221">
        <v>200</v>
      </c>
      <c r="Q227" s="223">
        <f>+N227*O227*P227</f>
        <v>0</v>
      </c>
    </row>
    <row r="228" spans="3:17" x14ac:dyDescent="0.35">
      <c r="C228" s="8" t="s">
        <v>237</v>
      </c>
      <c r="D228" s="4" t="s">
        <v>13</v>
      </c>
      <c r="E228" s="10">
        <v>1500000</v>
      </c>
      <c r="F228" s="40" t="s">
        <v>13</v>
      </c>
      <c r="I228" s="218" t="s">
        <v>15</v>
      </c>
      <c r="J228" s="219">
        <v>46008</v>
      </c>
      <c r="K228" s="219">
        <v>46008</v>
      </c>
      <c r="L228" s="221">
        <f t="shared" ref="L228" si="28">+K228-J228</f>
        <v>0</v>
      </c>
      <c r="M228" s="222">
        <v>0</v>
      </c>
      <c r="N228" s="222">
        <f t="shared" ref="N228" si="29">L228-M228</f>
        <v>0</v>
      </c>
      <c r="O228" s="221">
        <v>-16</v>
      </c>
      <c r="P228" s="221">
        <v>200</v>
      </c>
      <c r="Q228" s="223">
        <f t="shared" ref="Q228" si="30">+N228*O228*P228</f>
        <v>0</v>
      </c>
    </row>
    <row r="229" spans="3:17" x14ac:dyDescent="0.35">
      <c r="C229" s="8" t="s">
        <v>237</v>
      </c>
      <c r="D229" s="4" t="s">
        <v>41</v>
      </c>
      <c r="E229" s="10">
        <f>15*400</f>
        <v>6000</v>
      </c>
      <c r="F229" s="40" t="s">
        <v>13</v>
      </c>
      <c r="I229" s="218" t="s">
        <v>72</v>
      </c>
      <c r="J229" s="219">
        <v>46014</v>
      </c>
      <c r="K229" s="220">
        <v>46051</v>
      </c>
      <c r="L229" s="221">
        <f>+K229-J229</f>
        <v>37</v>
      </c>
      <c r="M229" s="222">
        <v>0</v>
      </c>
      <c r="N229" s="222">
        <f>L229-M229</f>
        <v>37</v>
      </c>
      <c r="O229" s="221">
        <v>22</v>
      </c>
      <c r="P229" s="221">
        <v>200</v>
      </c>
      <c r="Q229" s="223">
        <f>+N229*O229*P229</f>
        <v>162800</v>
      </c>
    </row>
    <row r="230" spans="3:17" x14ac:dyDescent="0.35">
      <c r="C230" s="8" t="s">
        <v>237</v>
      </c>
      <c r="D230" s="4" t="s">
        <v>247</v>
      </c>
      <c r="E230" s="10">
        <v>250000</v>
      </c>
      <c r="F230" s="40" t="s">
        <v>248</v>
      </c>
      <c r="I230" s="218" t="s">
        <v>263</v>
      </c>
      <c r="J230" s="219">
        <v>46017</v>
      </c>
      <c r="K230" s="220">
        <v>46055</v>
      </c>
      <c r="L230" s="221">
        <f>+K230-J230</f>
        <v>38</v>
      </c>
      <c r="M230" s="222">
        <v>0</v>
      </c>
      <c r="N230" s="222">
        <f>L230-M230</f>
        <v>38</v>
      </c>
      <c r="O230" s="221">
        <v>29</v>
      </c>
      <c r="P230" s="221">
        <v>200</v>
      </c>
      <c r="Q230" s="223">
        <f>+N230*O230*P230</f>
        <v>220400</v>
      </c>
    </row>
    <row r="231" spans="3:17" x14ac:dyDescent="0.35">
      <c r="C231" s="9" t="s">
        <v>237</v>
      </c>
      <c r="D231" s="4" t="s">
        <v>250</v>
      </c>
      <c r="E231" s="10">
        <v>250000</v>
      </c>
      <c r="F231" s="40" t="s">
        <v>238</v>
      </c>
      <c r="I231" s="228" t="s">
        <v>96</v>
      </c>
      <c r="J231" s="220">
        <v>46066</v>
      </c>
      <c r="K231" s="220">
        <v>46073</v>
      </c>
      <c r="L231" s="221">
        <f t="shared" ref="L231" si="31">+K231-J231</f>
        <v>7</v>
      </c>
      <c r="M231" s="222">
        <v>0</v>
      </c>
      <c r="N231" s="222">
        <f t="shared" ref="N231" si="32">L231-M231</f>
        <v>7</v>
      </c>
      <c r="O231" s="221">
        <v>50</v>
      </c>
      <c r="P231" s="221">
        <v>200</v>
      </c>
      <c r="Q231" s="223">
        <f t="shared" ref="Q231" si="33">+N231*O231*P231</f>
        <v>70000</v>
      </c>
    </row>
    <row r="232" spans="3:17" x14ac:dyDescent="0.35">
      <c r="C232" s="9" t="s">
        <v>237</v>
      </c>
      <c r="D232" s="4" t="s">
        <v>239</v>
      </c>
      <c r="E232" s="10">
        <v>1000</v>
      </c>
      <c r="F232" s="40" t="s">
        <v>238</v>
      </c>
      <c r="I232" s="218" t="s">
        <v>96</v>
      </c>
      <c r="J232" s="219">
        <v>46010</v>
      </c>
      <c r="K232" s="220">
        <v>46081</v>
      </c>
      <c r="L232" s="221">
        <f>+K232-J232</f>
        <v>71</v>
      </c>
      <c r="M232" s="222">
        <v>0</v>
      </c>
      <c r="N232" s="222">
        <f>L232-M232</f>
        <v>71</v>
      </c>
      <c r="O232" s="221">
        <v>9</v>
      </c>
      <c r="P232" s="221">
        <v>200</v>
      </c>
      <c r="Q232" s="223">
        <f>+N232*O232*P232</f>
        <v>127800</v>
      </c>
    </row>
    <row r="233" spans="3:17" x14ac:dyDescent="0.35">
      <c r="C233" s="9" t="s">
        <v>240</v>
      </c>
      <c r="D233" s="4" t="s">
        <v>242</v>
      </c>
      <c r="E233" s="10">
        <v>900000</v>
      </c>
      <c r="F233" s="40" t="s">
        <v>96</v>
      </c>
      <c r="I233" s="218" t="s">
        <v>254</v>
      </c>
      <c r="J233" s="219">
        <v>46014</v>
      </c>
      <c r="K233" s="220">
        <v>46081</v>
      </c>
      <c r="L233" s="221">
        <f t="shared" ref="L233:L235" si="34">+K233-J233</f>
        <v>67</v>
      </c>
      <c r="M233" s="222">
        <v>0</v>
      </c>
      <c r="N233" s="222">
        <f t="shared" ref="N233:N235" si="35">L233-M233</f>
        <v>67</v>
      </c>
      <c r="O233" s="221">
        <v>5</v>
      </c>
      <c r="P233" s="221">
        <v>200</v>
      </c>
      <c r="Q233" s="223">
        <f>+N233*O233*P233</f>
        <v>67000</v>
      </c>
    </row>
    <row r="234" spans="3:17" x14ac:dyDescent="0.35">
      <c r="C234" s="9" t="s">
        <v>240</v>
      </c>
      <c r="D234" s="1" t="s">
        <v>241</v>
      </c>
      <c r="E234" s="10">
        <v>5400</v>
      </c>
      <c r="F234" s="40" t="s">
        <v>96</v>
      </c>
      <c r="I234" s="218" t="s">
        <v>116</v>
      </c>
      <c r="J234" s="219">
        <v>46015</v>
      </c>
      <c r="K234" s="220">
        <v>46081</v>
      </c>
      <c r="L234" s="221">
        <f t="shared" si="34"/>
        <v>66</v>
      </c>
      <c r="M234" s="222">
        <v>0</v>
      </c>
      <c r="N234" s="222">
        <f t="shared" si="35"/>
        <v>66</v>
      </c>
      <c r="O234" s="221">
        <v>2</v>
      </c>
      <c r="P234" s="221">
        <v>200</v>
      </c>
      <c r="Q234" s="223">
        <f t="shared" ref="Q234:Q235" si="36">+N234*O234*P234</f>
        <v>26400</v>
      </c>
    </row>
    <row r="235" spans="3:17" x14ac:dyDescent="0.35">
      <c r="C235" s="9" t="s">
        <v>251</v>
      </c>
      <c r="D235" s="4" t="s">
        <v>72</v>
      </c>
      <c r="E235" s="10">
        <v>2200000</v>
      </c>
      <c r="F235" s="40" t="s">
        <v>72</v>
      </c>
      <c r="I235" s="218" t="s">
        <v>263</v>
      </c>
      <c r="J235" s="219">
        <v>46016</v>
      </c>
      <c r="K235" s="220">
        <v>46081</v>
      </c>
      <c r="L235" s="221">
        <f t="shared" si="34"/>
        <v>65</v>
      </c>
      <c r="M235" s="222">
        <v>0</v>
      </c>
      <c r="N235" s="222">
        <f t="shared" si="35"/>
        <v>65</v>
      </c>
      <c r="O235" s="221">
        <v>2.5</v>
      </c>
      <c r="P235" s="221">
        <v>200</v>
      </c>
      <c r="Q235" s="223">
        <f t="shared" si="36"/>
        <v>32500</v>
      </c>
    </row>
    <row r="236" spans="3:17" x14ac:dyDescent="0.35">
      <c r="C236" s="9" t="s">
        <v>251</v>
      </c>
      <c r="D236" s="4" t="s">
        <v>252</v>
      </c>
      <c r="E236" s="10">
        <f>22*700</f>
        <v>15400</v>
      </c>
      <c r="F236" s="40" t="s">
        <v>72</v>
      </c>
      <c r="I236" s="218" t="s">
        <v>72</v>
      </c>
      <c r="J236" s="219">
        <v>46018</v>
      </c>
      <c r="K236" s="220">
        <v>46081</v>
      </c>
      <c r="L236" s="221">
        <f>+K236-J236</f>
        <v>63</v>
      </c>
      <c r="M236" s="222">
        <v>0</v>
      </c>
      <c r="N236" s="222">
        <f>L236-M236</f>
        <v>63</v>
      </c>
      <c r="O236" s="221">
        <v>20</v>
      </c>
      <c r="P236" s="221">
        <v>200</v>
      </c>
      <c r="Q236" s="223">
        <f>+N236*O236*P236</f>
        <v>252000</v>
      </c>
    </row>
    <row r="237" spans="3:17" x14ac:dyDescent="0.35">
      <c r="C237" s="9" t="s">
        <v>253</v>
      </c>
      <c r="D237" s="4" t="s">
        <v>254</v>
      </c>
      <c r="E237" s="10">
        <v>500000</v>
      </c>
      <c r="F237" s="40" t="s">
        <v>254</v>
      </c>
      <c r="I237" s="218" t="s">
        <v>9</v>
      </c>
      <c r="J237" s="219">
        <v>46022</v>
      </c>
      <c r="K237" s="220">
        <v>46081</v>
      </c>
      <c r="L237" s="221">
        <f>+K237-J237</f>
        <v>59</v>
      </c>
      <c r="M237" s="222">
        <v>0</v>
      </c>
      <c r="N237" s="222">
        <f>L237-M237</f>
        <v>59</v>
      </c>
      <c r="O237" s="221">
        <v>11.5</v>
      </c>
      <c r="P237" s="221">
        <v>200</v>
      </c>
      <c r="Q237" s="223">
        <f t="shared" ref="Q237" si="37">+N237*O237*P237</f>
        <v>135700</v>
      </c>
    </row>
    <row r="238" spans="3:17" x14ac:dyDescent="0.35">
      <c r="C238" s="9" t="s">
        <v>253</v>
      </c>
      <c r="D238" s="4" t="s">
        <v>255</v>
      </c>
      <c r="E238" s="10">
        <v>3000</v>
      </c>
      <c r="F238" s="40" t="s">
        <v>254</v>
      </c>
      <c r="I238" s="218" t="s">
        <v>9</v>
      </c>
      <c r="J238" s="219">
        <v>46022</v>
      </c>
      <c r="K238" s="220">
        <v>46105</v>
      </c>
      <c r="L238" s="221">
        <f>+K238-J238</f>
        <v>83</v>
      </c>
      <c r="M238" s="222">
        <v>0</v>
      </c>
      <c r="N238" s="222">
        <f>L238-M238</f>
        <v>83</v>
      </c>
      <c r="O238" s="221">
        <v>8.5</v>
      </c>
      <c r="P238" s="221">
        <v>200</v>
      </c>
      <c r="Q238" s="223">
        <f t="shared" ref="Q238:Q241" si="38">+N238*O238*P238</f>
        <v>141100</v>
      </c>
    </row>
    <row r="239" spans="3:17" x14ac:dyDescent="0.35">
      <c r="C239" s="9" t="s">
        <v>256</v>
      </c>
      <c r="D239" s="4" t="s">
        <v>116</v>
      </c>
      <c r="E239" s="10">
        <v>200000</v>
      </c>
      <c r="F239" s="40" t="s">
        <v>116</v>
      </c>
      <c r="I239" s="218" t="s">
        <v>7</v>
      </c>
      <c r="J239" s="219">
        <v>46024</v>
      </c>
      <c r="K239" s="220">
        <v>46105</v>
      </c>
      <c r="L239" s="221">
        <f>+K239-J239</f>
        <v>81</v>
      </c>
      <c r="M239" s="222">
        <v>0</v>
      </c>
      <c r="N239" s="222">
        <f>L239-M239</f>
        <v>81</v>
      </c>
      <c r="O239" s="221">
        <v>10</v>
      </c>
      <c r="P239" s="221">
        <v>200</v>
      </c>
      <c r="Q239" s="223">
        <f t="shared" si="38"/>
        <v>162000</v>
      </c>
    </row>
    <row r="240" spans="3:17" x14ac:dyDescent="0.35">
      <c r="C240" s="9" t="s">
        <v>256</v>
      </c>
      <c r="D240" s="4" t="s">
        <v>257</v>
      </c>
      <c r="E240" s="10">
        <v>800</v>
      </c>
      <c r="F240" s="40" t="s">
        <v>116</v>
      </c>
      <c r="I240" s="228" t="s">
        <v>7</v>
      </c>
      <c r="J240" s="220">
        <v>46039</v>
      </c>
      <c r="K240" s="220">
        <v>46105</v>
      </c>
      <c r="L240" s="221">
        <f t="shared" ref="L240:L242" si="39">+K240-J240</f>
        <v>66</v>
      </c>
      <c r="M240" s="222">
        <v>0</v>
      </c>
      <c r="N240" s="222">
        <f t="shared" ref="N240:N242" si="40">L240-M240</f>
        <v>66</v>
      </c>
      <c r="O240" s="221">
        <v>19.5</v>
      </c>
      <c r="P240" s="221">
        <v>200</v>
      </c>
      <c r="Q240" s="223">
        <f t="shared" si="38"/>
        <v>257400</v>
      </c>
    </row>
    <row r="241" spans="3:17" x14ac:dyDescent="0.35">
      <c r="C241" s="9" t="s">
        <v>262</v>
      </c>
      <c r="D241" s="4" t="s">
        <v>263</v>
      </c>
      <c r="E241" s="10">
        <v>250000</v>
      </c>
      <c r="F241" s="40" t="s">
        <v>263</v>
      </c>
      <c r="I241" s="228" t="s">
        <v>11</v>
      </c>
      <c r="J241" s="220">
        <v>46055</v>
      </c>
      <c r="K241" s="220">
        <v>46105</v>
      </c>
      <c r="L241" s="221">
        <f t="shared" si="39"/>
        <v>50</v>
      </c>
      <c r="M241" s="222">
        <v>0</v>
      </c>
      <c r="N241" s="222">
        <f t="shared" si="40"/>
        <v>50</v>
      </c>
      <c r="O241" s="221">
        <v>6</v>
      </c>
      <c r="P241" s="221">
        <v>200</v>
      </c>
      <c r="Q241" s="223">
        <f t="shared" si="38"/>
        <v>60000</v>
      </c>
    </row>
    <row r="242" spans="3:17" x14ac:dyDescent="0.35">
      <c r="C242" s="9" t="s">
        <v>262</v>
      </c>
      <c r="D242" s="4" t="s">
        <v>264</v>
      </c>
      <c r="E242" s="10">
        <v>1000</v>
      </c>
      <c r="F242" s="40" t="s">
        <v>263</v>
      </c>
      <c r="I242" s="228" t="s">
        <v>96</v>
      </c>
      <c r="J242" s="220">
        <v>46088</v>
      </c>
      <c r="K242" s="220">
        <v>46093</v>
      </c>
      <c r="L242" s="221">
        <f t="shared" si="39"/>
        <v>5</v>
      </c>
      <c r="M242" s="229"/>
      <c r="N242" s="222">
        <f t="shared" si="40"/>
        <v>5</v>
      </c>
      <c r="O242" s="221">
        <v>30</v>
      </c>
      <c r="P242" s="221">
        <v>200</v>
      </c>
      <c r="Q242" s="223">
        <f t="shared" ref="Q242" si="41">+N242*O242*P242</f>
        <v>30000</v>
      </c>
    </row>
    <row r="243" spans="3:17" x14ac:dyDescent="0.35">
      <c r="C243" s="9" t="s">
        <v>265</v>
      </c>
      <c r="D243" s="4" t="s">
        <v>263</v>
      </c>
      <c r="E243" s="10">
        <v>2900000</v>
      </c>
      <c r="F243" s="40" t="s">
        <v>263</v>
      </c>
      <c r="I243" s="9" t="s">
        <v>96</v>
      </c>
      <c r="J243" s="79">
        <v>46088</v>
      </c>
      <c r="K243" s="79">
        <v>46108</v>
      </c>
      <c r="L243" s="7">
        <f t="shared" ref="L243:L245" si="42">+K243-J243</f>
        <v>20</v>
      </c>
      <c r="M243" s="215"/>
      <c r="N243" s="55">
        <f t="shared" ref="N243:N245" si="43">L243-M243</f>
        <v>20</v>
      </c>
      <c r="O243" s="7">
        <v>20</v>
      </c>
      <c r="P243" s="7">
        <v>200</v>
      </c>
      <c r="Q243" s="16">
        <f t="shared" ref="Q243:Q244" si="44">+N243*O243*P243</f>
        <v>80000</v>
      </c>
    </row>
    <row r="244" spans="3:17" x14ac:dyDescent="0.35">
      <c r="C244" s="9" t="s">
        <v>265</v>
      </c>
      <c r="D244" s="4" t="s">
        <v>264</v>
      </c>
      <c r="E244" s="10">
        <v>8700</v>
      </c>
      <c r="F244" s="40" t="s">
        <v>263</v>
      </c>
      <c r="I244" s="9" t="s">
        <v>15</v>
      </c>
      <c r="J244" s="79">
        <v>46090</v>
      </c>
      <c r="K244" s="79">
        <v>46108</v>
      </c>
      <c r="L244" s="7">
        <f t="shared" si="42"/>
        <v>18</v>
      </c>
      <c r="M244" s="215"/>
      <c r="N244" s="55">
        <f t="shared" si="43"/>
        <v>18</v>
      </c>
      <c r="O244" s="7">
        <v>22</v>
      </c>
      <c r="P244" s="7">
        <v>200</v>
      </c>
      <c r="Q244" s="16">
        <f t="shared" si="44"/>
        <v>79200</v>
      </c>
    </row>
    <row r="245" spans="3:17" x14ac:dyDescent="0.35">
      <c r="C245" s="9" t="s">
        <v>268</v>
      </c>
      <c r="D245" s="4" t="s">
        <v>72</v>
      </c>
      <c r="E245" s="10">
        <v>2000000</v>
      </c>
      <c r="F245" s="40" t="s">
        <v>72</v>
      </c>
      <c r="I245" s="9" t="s">
        <v>291</v>
      </c>
      <c r="J245" s="79">
        <v>46099</v>
      </c>
      <c r="K245" s="79">
        <v>46108</v>
      </c>
      <c r="L245" s="7">
        <f t="shared" si="42"/>
        <v>9</v>
      </c>
      <c r="M245" s="215"/>
      <c r="N245" s="55">
        <f t="shared" si="43"/>
        <v>9</v>
      </c>
      <c r="O245" s="10">
        <v>2.5</v>
      </c>
      <c r="P245" s="7">
        <v>200</v>
      </c>
      <c r="Q245" s="16">
        <f t="shared" ref="Q245" si="45">+N245*O245*P245</f>
        <v>4500</v>
      </c>
    </row>
    <row r="246" spans="3:17" x14ac:dyDescent="0.35">
      <c r="C246" s="9" t="s">
        <v>268</v>
      </c>
      <c r="D246" s="4" t="s">
        <v>252</v>
      </c>
      <c r="E246" s="10">
        <v>140000</v>
      </c>
      <c r="F246" s="40" t="s">
        <v>72</v>
      </c>
      <c r="I246" s="9"/>
      <c r="J246" s="79"/>
      <c r="K246" s="79"/>
      <c r="L246" s="10"/>
      <c r="M246" s="215"/>
      <c r="N246" s="215"/>
      <c r="O246" s="10"/>
      <c r="P246" s="10"/>
      <c r="Q246" s="40"/>
    </row>
    <row r="247" spans="3:17" x14ac:dyDescent="0.35">
      <c r="C247" s="9" t="s">
        <v>269</v>
      </c>
      <c r="D247" s="4" t="s">
        <v>9</v>
      </c>
      <c r="E247" s="10">
        <v>2000000</v>
      </c>
      <c r="F247" s="40" t="s">
        <v>9</v>
      </c>
      <c r="I247" s="9"/>
      <c r="J247" s="79"/>
      <c r="K247" s="79"/>
      <c r="L247" s="10"/>
      <c r="M247" s="215"/>
      <c r="N247" s="215"/>
      <c r="O247" s="10"/>
      <c r="P247" s="10"/>
      <c r="Q247" s="40"/>
    </row>
    <row r="248" spans="3:17" x14ac:dyDescent="0.35">
      <c r="C248" s="9" t="s">
        <v>269</v>
      </c>
      <c r="D248" s="4" t="s">
        <v>270</v>
      </c>
      <c r="E248" s="10">
        <v>10000</v>
      </c>
      <c r="F248" s="40" t="s">
        <v>9</v>
      </c>
      <c r="I248" s="9"/>
      <c r="J248" s="79"/>
      <c r="K248" s="79"/>
      <c r="L248" s="10"/>
      <c r="M248" s="215"/>
      <c r="N248" s="215"/>
      <c r="O248" s="10"/>
      <c r="P248" s="10"/>
      <c r="Q248" s="40"/>
    </row>
    <row r="249" spans="3:17" x14ac:dyDescent="0.35">
      <c r="C249" s="9" t="s">
        <v>275</v>
      </c>
      <c r="D249" s="4" t="s">
        <v>7</v>
      </c>
      <c r="E249" s="10">
        <v>1000000</v>
      </c>
      <c r="F249" s="40" t="s">
        <v>7</v>
      </c>
      <c r="I249" s="9"/>
      <c r="J249" s="79"/>
      <c r="K249" s="79"/>
      <c r="L249" s="10"/>
      <c r="M249" s="215"/>
      <c r="N249" s="215"/>
      <c r="O249" s="10"/>
      <c r="P249" s="10"/>
      <c r="Q249" s="40"/>
    </row>
    <row r="250" spans="3:17" x14ac:dyDescent="0.35">
      <c r="C250" s="9" t="s">
        <v>275</v>
      </c>
      <c r="D250" s="4" t="s">
        <v>271</v>
      </c>
      <c r="E250" s="10">
        <v>4000</v>
      </c>
      <c r="F250" s="40" t="s">
        <v>7</v>
      </c>
      <c r="I250" s="9"/>
      <c r="J250" s="79"/>
      <c r="K250" s="79"/>
      <c r="L250" s="10"/>
      <c r="M250" s="215"/>
      <c r="N250" s="215"/>
      <c r="O250" s="10"/>
      <c r="P250" s="10"/>
      <c r="Q250" s="40"/>
    </row>
    <row r="251" spans="3:17" x14ac:dyDescent="0.35">
      <c r="C251" s="9" t="s">
        <v>276</v>
      </c>
      <c r="D251" s="4" t="s">
        <v>13</v>
      </c>
      <c r="E251" s="10">
        <v>400000</v>
      </c>
      <c r="F251" s="40" t="s">
        <v>13</v>
      </c>
      <c r="I251" s="9"/>
      <c r="J251" s="79"/>
      <c r="K251" s="79"/>
      <c r="L251" s="10"/>
      <c r="M251" s="215"/>
      <c r="N251" s="215"/>
      <c r="O251" s="10"/>
      <c r="P251" s="10"/>
      <c r="Q251" s="40"/>
    </row>
    <row r="252" spans="3:17" x14ac:dyDescent="0.35">
      <c r="C252" s="9" t="s">
        <v>276</v>
      </c>
      <c r="D252" s="4" t="s">
        <v>41</v>
      </c>
      <c r="E252" s="10">
        <v>1600</v>
      </c>
      <c r="F252" s="40" t="s">
        <v>13</v>
      </c>
      <c r="I252" s="9"/>
      <c r="J252" s="79"/>
      <c r="K252" s="79"/>
      <c r="L252" s="10"/>
      <c r="M252" s="215"/>
      <c r="N252" s="215"/>
      <c r="O252" s="10"/>
      <c r="P252" s="10"/>
      <c r="Q252" s="40"/>
    </row>
    <row r="253" spans="3:17" x14ac:dyDescent="0.35">
      <c r="C253" s="9" t="s">
        <v>274</v>
      </c>
      <c r="D253" s="4" t="s">
        <v>7</v>
      </c>
      <c r="E253" s="10">
        <v>1950000</v>
      </c>
      <c r="F253" s="40" t="s">
        <v>7</v>
      </c>
      <c r="I253" s="9"/>
      <c r="J253" s="79"/>
      <c r="K253" s="79"/>
      <c r="L253" s="10"/>
      <c r="M253" s="215"/>
      <c r="N253" s="215"/>
      <c r="O253" s="10"/>
      <c r="P253" s="10"/>
      <c r="Q253" s="40"/>
    </row>
    <row r="254" spans="3:17" x14ac:dyDescent="0.35">
      <c r="C254" s="9" t="s">
        <v>274</v>
      </c>
      <c r="D254" s="4" t="s">
        <v>271</v>
      </c>
      <c r="E254" s="10">
        <f>19.5*500</f>
        <v>9750</v>
      </c>
      <c r="F254" s="40" t="s">
        <v>7</v>
      </c>
      <c r="I254" s="9"/>
      <c r="J254" s="79"/>
      <c r="K254" s="79"/>
      <c r="L254" s="10"/>
      <c r="M254" s="215"/>
      <c r="N254" s="215"/>
      <c r="O254" s="10"/>
      <c r="P254" s="10"/>
      <c r="Q254" s="40"/>
    </row>
    <row r="255" spans="3:17" x14ac:dyDescent="0.35">
      <c r="C255" s="9" t="s">
        <v>277</v>
      </c>
      <c r="D255" s="4" t="s">
        <v>11</v>
      </c>
      <c r="E255" s="10">
        <v>600000</v>
      </c>
      <c r="F255" s="40" t="s">
        <v>11</v>
      </c>
      <c r="I255" s="9"/>
      <c r="J255" s="79"/>
      <c r="K255" s="79"/>
      <c r="L255" s="10"/>
      <c r="M255" s="215"/>
      <c r="N255" s="215"/>
      <c r="O255" s="10"/>
      <c r="P255" s="10"/>
      <c r="Q255" s="40"/>
    </row>
    <row r="256" spans="3:17" x14ac:dyDescent="0.35">
      <c r="C256" s="9" t="s">
        <v>277</v>
      </c>
      <c r="D256" s="4" t="s">
        <v>278</v>
      </c>
      <c r="E256" s="10">
        <v>3000</v>
      </c>
      <c r="F256" s="40" t="s">
        <v>11</v>
      </c>
      <c r="I256" s="9"/>
      <c r="J256" s="79"/>
      <c r="K256" s="79"/>
      <c r="L256" s="10"/>
      <c r="M256" s="215"/>
      <c r="N256" s="215"/>
      <c r="O256" s="10"/>
      <c r="P256" s="10"/>
      <c r="Q256" s="40"/>
    </row>
    <row r="257" spans="3:17" x14ac:dyDescent="0.35">
      <c r="C257" s="9" t="s">
        <v>306</v>
      </c>
      <c r="D257" s="4" t="s">
        <v>297</v>
      </c>
      <c r="E257" s="10">
        <f>+Q266</f>
        <v>2316800</v>
      </c>
      <c r="F257" s="40" t="s">
        <v>291</v>
      </c>
      <c r="I257" s="8"/>
      <c r="J257" s="54"/>
      <c r="K257" s="79"/>
      <c r="L257" s="7"/>
      <c r="M257" s="55"/>
      <c r="N257" s="55"/>
      <c r="O257" s="7"/>
      <c r="P257" s="7"/>
      <c r="Q257" s="16"/>
    </row>
    <row r="258" spans="3:17" x14ac:dyDescent="0.35">
      <c r="C258" s="9" t="s">
        <v>293</v>
      </c>
      <c r="D258" s="4" t="s">
        <v>96</v>
      </c>
      <c r="E258" s="10">
        <v>5000000</v>
      </c>
      <c r="F258" s="40" t="s">
        <v>96</v>
      </c>
      <c r="I258" s="9"/>
      <c r="J258" s="79"/>
      <c r="K258" s="79"/>
      <c r="L258" s="10"/>
      <c r="M258" s="215"/>
      <c r="N258" s="215"/>
      <c r="O258" s="10"/>
      <c r="P258" s="10"/>
      <c r="Q258" s="40"/>
    </row>
    <row r="259" spans="3:17" x14ac:dyDescent="0.35">
      <c r="C259" s="9" t="s">
        <v>293</v>
      </c>
      <c r="D259" s="4" t="s">
        <v>241</v>
      </c>
      <c r="E259" s="10">
        <v>35000</v>
      </c>
      <c r="F259" s="40" t="s">
        <v>96</v>
      </c>
      <c r="I259" s="9"/>
      <c r="J259" s="79"/>
      <c r="K259" s="79"/>
      <c r="L259" s="10"/>
      <c r="M259" s="215"/>
      <c r="N259" s="215"/>
      <c r="O259" s="10"/>
      <c r="P259" s="10"/>
      <c r="Q259" s="40"/>
    </row>
    <row r="260" spans="3:17" x14ac:dyDescent="0.35">
      <c r="C260" s="9" t="s">
        <v>294</v>
      </c>
      <c r="D260" s="4" t="s">
        <v>15</v>
      </c>
      <c r="E260" s="10">
        <v>2200000</v>
      </c>
      <c r="F260" s="40" t="s">
        <v>15</v>
      </c>
      <c r="I260" s="9"/>
      <c r="J260" s="79"/>
      <c r="K260" s="79"/>
      <c r="L260" s="10"/>
      <c r="M260" s="215"/>
      <c r="N260" s="215"/>
      <c r="O260" s="10"/>
      <c r="P260" s="10"/>
      <c r="Q260" s="40"/>
    </row>
    <row r="261" spans="3:17" x14ac:dyDescent="0.35">
      <c r="C261" s="9" t="s">
        <v>294</v>
      </c>
      <c r="D261" s="4" t="s">
        <v>295</v>
      </c>
      <c r="E261" s="10">
        <f>22*700</f>
        <v>15400</v>
      </c>
      <c r="F261" s="40" t="s">
        <v>15</v>
      </c>
      <c r="I261" s="9"/>
      <c r="J261" s="79"/>
      <c r="K261" s="79"/>
      <c r="L261" s="10"/>
      <c r="M261" s="215"/>
      <c r="N261" s="215"/>
      <c r="O261" s="10"/>
      <c r="P261" s="10"/>
      <c r="Q261" s="40"/>
    </row>
    <row r="262" spans="3:17" x14ac:dyDescent="0.35">
      <c r="C262" s="9"/>
      <c r="D262" s="4"/>
      <c r="E262" s="10"/>
      <c r="F262" s="40"/>
      <c r="I262" s="9"/>
      <c r="J262" s="79"/>
      <c r="K262" s="79"/>
      <c r="L262" s="10"/>
      <c r="M262" s="215"/>
      <c r="N262" s="215"/>
      <c r="O262" s="10"/>
      <c r="P262" s="10"/>
      <c r="Q262" s="40"/>
    </row>
    <row r="263" spans="3:17" x14ac:dyDescent="0.35">
      <c r="C263" s="9"/>
      <c r="D263" s="4"/>
      <c r="E263" s="10"/>
      <c r="F263" s="40"/>
      <c r="I263" s="9"/>
      <c r="J263" s="79"/>
      <c r="K263" s="79"/>
      <c r="L263" s="10"/>
      <c r="M263" s="215"/>
      <c r="N263" s="215"/>
      <c r="O263" s="10"/>
      <c r="P263" s="10"/>
      <c r="Q263" s="40"/>
    </row>
    <row r="264" spans="3:17" x14ac:dyDescent="0.35">
      <c r="C264" s="9"/>
      <c r="D264" s="4"/>
      <c r="E264" s="10"/>
      <c r="F264" s="40"/>
      <c r="I264" s="9"/>
      <c r="J264" s="79"/>
      <c r="K264" s="79"/>
      <c r="L264" s="10"/>
      <c r="M264" s="215"/>
      <c r="N264" s="215"/>
      <c r="O264" s="10"/>
      <c r="P264" s="10"/>
      <c r="Q264" s="40"/>
    </row>
    <row r="265" spans="3:17" ht="15" thickBot="1" x14ac:dyDescent="0.4">
      <c r="C265" s="190"/>
      <c r="D265" s="78"/>
      <c r="E265" s="34"/>
      <c r="F265" s="35"/>
      <c r="I265" s="9"/>
      <c r="J265" s="79"/>
      <c r="K265" s="79"/>
      <c r="L265" s="10"/>
      <c r="M265" s="215"/>
      <c r="N265" s="215"/>
      <c r="O265" s="10"/>
      <c r="P265" s="10"/>
      <c r="Q265" s="40"/>
    </row>
    <row r="266" spans="3:17" ht="16" thickBot="1" x14ac:dyDescent="0.4">
      <c r="C266" s="197"/>
      <c r="D266" s="198" t="s">
        <v>22</v>
      </c>
      <c r="E266" s="199">
        <f>SUM(E223:E265)</f>
        <v>39259350</v>
      </c>
      <c r="F266" s="200"/>
      <c r="I266" s="12"/>
      <c r="J266" s="216"/>
      <c r="K266" s="216"/>
      <c r="L266" s="13"/>
      <c r="M266" s="217"/>
      <c r="N266" s="217"/>
      <c r="O266" s="13">
        <f>SUM(O224:O265)</f>
        <v>398.5</v>
      </c>
      <c r="P266" s="13"/>
      <c r="Q266" s="14">
        <f>SUM(Q224:Q265)</f>
        <v>2316800</v>
      </c>
    </row>
    <row r="267" spans="3:17" x14ac:dyDescent="0.35">
      <c r="C267" s="8" t="s">
        <v>171</v>
      </c>
      <c r="D267" s="4" t="s">
        <v>245</v>
      </c>
      <c r="E267" s="10">
        <v>1600000</v>
      </c>
      <c r="F267" s="40"/>
    </row>
    <row r="268" spans="3:17" x14ac:dyDescent="0.35">
      <c r="C268" s="8"/>
      <c r="D268" s="4" t="s">
        <v>246</v>
      </c>
      <c r="E268" s="10">
        <v>-3200</v>
      </c>
      <c r="F268" s="40"/>
    </row>
    <row r="269" spans="3:17" x14ac:dyDescent="0.35">
      <c r="C269" s="9"/>
      <c r="D269" s="4" t="s">
        <v>260</v>
      </c>
      <c r="E269" s="10">
        <v>5000000</v>
      </c>
      <c r="F269" s="40"/>
    </row>
    <row r="270" spans="3:17" x14ac:dyDescent="0.35">
      <c r="C270" s="9"/>
      <c r="D270" s="4" t="s">
        <v>261</v>
      </c>
      <c r="E270" s="10">
        <v>5000000</v>
      </c>
      <c r="F270" s="40"/>
    </row>
    <row r="271" spans="3:17" x14ac:dyDescent="0.35">
      <c r="C271" s="9"/>
      <c r="D271" s="4" t="s">
        <v>272</v>
      </c>
      <c r="E271" s="10">
        <v>400000</v>
      </c>
      <c r="F271" s="40"/>
    </row>
    <row r="272" spans="3:17" x14ac:dyDescent="0.35">
      <c r="C272" s="9"/>
      <c r="D272" s="4" t="s">
        <v>273</v>
      </c>
      <c r="E272" s="10">
        <v>3000000</v>
      </c>
      <c r="F272" s="40"/>
    </row>
    <row r="273" spans="3:8" x14ac:dyDescent="0.35">
      <c r="C273" s="9"/>
      <c r="D273" s="4" t="s">
        <v>279</v>
      </c>
      <c r="E273" s="10">
        <v>5000000</v>
      </c>
      <c r="F273" s="40"/>
    </row>
    <row r="274" spans="3:8" x14ac:dyDescent="0.35">
      <c r="C274" s="9"/>
      <c r="D274" s="4" t="s">
        <v>292</v>
      </c>
      <c r="E274" s="10">
        <v>5000000</v>
      </c>
      <c r="F274" s="40"/>
    </row>
    <row r="275" spans="3:8" x14ac:dyDescent="0.35">
      <c r="C275" s="9"/>
      <c r="D275" s="4" t="s">
        <v>296</v>
      </c>
      <c r="E275" s="10">
        <v>3000000</v>
      </c>
      <c r="F275" s="40"/>
    </row>
    <row r="276" spans="3:8" x14ac:dyDescent="0.35">
      <c r="C276" s="9"/>
      <c r="D276" s="4" t="s">
        <v>301</v>
      </c>
      <c r="E276" s="10">
        <v>5075000</v>
      </c>
      <c r="F276" s="40"/>
    </row>
    <row r="277" spans="3:8" x14ac:dyDescent="0.35">
      <c r="C277" s="9"/>
      <c r="D277" s="4"/>
      <c r="E277" s="10"/>
      <c r="F277" s="40"/>
    </row>
    <row r="278" spans="3:8" x14ac:dyDescent="0.35">
      <c r="C278" s="9"/>
      <c r="D278" s="4"/>
      <c r="E278" s="10"/>
      <c r="F278" s="40"/>
    </row>
    <row r="279" spans="3:8" ht="15" thickBot="1" x14ac:dyDescent="0.4">
      <c r="C279" s="9"/>
      <c r="D279" s="4"/>
      <c r="E279" s="10"/>
      <c r="F279" s="40"/>
    </row>
    <row r="280" spans="3:8" ht="19" thickBot="1" x14ac:dyDescent="0.5">
      <c r="C280" s="12"/>
      <c r="D280" s="202" t="s">
        <v>44</v>
      </c>
      <c r="E280" s="201">
        <f>E266-SUM(E267:E279)</f>
        <v>6187550</v>
      </c>
      <c r="F280" s="14"/>
    </row>
    <row r="284" spans="3:8" ht="19" thickBot="1" x14ac:dyDescent="0.5">
      <c r="C284" s="263" t="s">
        <v>310</v>
      </c>
      <c r="D284" s="263"/>
      <c r="E284" s="263"/>
      <c r="F284" s="263"/>
      <c r="G284"/>
      <c r="H284"/>
    </row>
    <row r="285" spans="3:8" ht="19" thickBot="1" x14ac:dyDescent="0.4">
      <c r="C285" s="240" t="s">
        <v>0</v>
      </c>
      <c r="D285" s="241" t="s">
        <v>24</v>
      </c>
      <c r="E285" s="241" t="s">
        <v>5</v>
      </c>
      <c r="F285" s="242" t="s">
        <v>1</v>
      </c>
      <c r="G285"/>
      <c r="H285"/>
    </row>
    <row r="286" spans="3:8" x14ac:dyDescent="0.35">
      <c r="C286" s="236"/>
      <c r="D286" s="237" t="s">
        <v>308</v>
      </c>
      <c r="E286" s="238">
        <f>E280</f>
        <v>6187550</v>
      </c>
      <c r="F286" s="239"/>
      <c r="G286"/>
      <c r="H286"/>
    </row>
    <row r="287" spans="3:8" x14ac:dyDescent="0.35">
      <c r="C287" s="8" t="s">
        <v>298</v>
      </c>
      <c r="D287" s="1" t="s">
        <v>299</v>
      </c>
      <c r="E287" s="7">
        <v>250000</v>
      </c>
      <c r="F287" s="16" t="s">
        <v>291</v>
      </c>
      <c r="G287"/>
      <c r="H287"/>
    </row>
    <row r="288" spans="3:8" x14ac:dyDescent="0.35">
      <c r="C288" s="8" t="s">
        <v>300</v>
      </c>
      <c r="D288" s="1" t="s">
        <v>302</v>
      </c>
      <c r="E288" s="7">
        <v>700000</v>
      </c>
      <c r="F288" s="16" t="s">
        <v>185</v>
      </c>
      <c r="G288"/>
      <c r="H288"/>
    </row>
    <row r="289" spans="3:8" x14ac:dyDescent="0.35">
      <c r="C289" s="8" t="s">
        <v>300</v>
      </c>
      <c r="D289" s="1" t="s">
        <v>304</v>
      </c>
      <c r="E289" s="7">
        <v>6500</v>
      </c>
      <c r="F289" s="16" t="s">
        <v>185</v>
      </c>
      <c r="G289"/>
      <c r="H289"/>
    </row>
    <row r="290" spans="3:8" x14ac:dyDescent="0.35">
      <c r="C290" s="8" t="s">
        <v>300</v>
      </c>
      <c r="D290" s="1" t="s">
        <v>303</v>
      </c>
      <c r="E290" s="7">
        <v>500000</v>
      </c>
      <c r="F290" s="16" t="s">
        <v>15</v>
      </c>
      <c r="G290"/>
      <c r="H290"/>
    </row>
    <row r="291" spans="3:8" x14ac:dyDescent="0.35">
      <c r="C291" s="8" t="s">
        <v>300</v>
      </c>
      <c r="D291" s="1" t="s">
        <v>305</v>
      </c>
      <c r="E291" s="7">
        <v>7500</v>
      </c>
      <c r="F291" s="16" t="s">
        <v>15</v>
      </c>
      <c r="G291"/>
      <c r="H291"/>
    </row>
    <row r="292" spans="3:8" x14ac:dyDescent="0.35">
      <c r="C292" s="8" t="s">
        <v>306</v>
      </c>
      <c r="D292" s="1" t="s">
        <v>309</v>
      </c>
      <c r="E292" s="7">
        <v>2500000</v>
      </c>
      <c r="F292" s="16" t="s">
        <v>14</v>
      </c>
      <c r="G292"/>
      <c r="H292"/>
    </row>
    <row r="293" spans="3:8" x14ac:dyDescent="0.35">
      <c r="C293" s="8" t="s">
        <v>306</v>
      </c>
      <c r="D293" s="1" t="s">
        <v>307</v>
      </c>
      <c r="E293" s="7">
        <f>25*700</f>
        <v>17500</v>
      </c>
      <c r="F293" s="16" t="s">
        <v>14</v>
      </c>
      <c r="G293"/>
      <c r="H293"/>
    </row>
    <row r="294" spans="3:8" x14ac:dyDescent="0.35">
      <c r="C294" s="8" t="s">
        <v>306</v>
      </c>
      <c r="D294" s="1" t="s">
        <v>316</v>
      </c>
      <c r="E294" s="7">
        <v>2100000</v>
      </c>
      <c r="F294" s="16" t="s">
        <v>7</v>
      </c>
      <c r="G294"/>
      <c r="H294"/>
    </row>
    <row r="295" spans="3:8" x14ac:dyDescent="0.35">
      <c r="C295" s="8" t="s">
        <v>306</v>
      </c>
      <c r="D295" s="1" t="s">
        <v>271</v>
      </c>
      <c r="E295" s="7">
        <f>21*400</f>
        <v>8400</v>
      </c>
      <c r="F295" s="16" t="s">
        <v>7</v>
      </c>
      <c r="G295"/>
      <c r="H295"/>
    </row>
    <row r="296" spans="3:8" x14ac:dyDescent="0.35">
      <c r="C296" s="8" t="s">
        <v>306</v>
      </c>
      <c r="D296" s="1" t="s">
        <v>317</v>
      </c>
      <c r="E296" s="7">
        <v>2000000</v>
      </c>
      <c r="F296" s="16" t="s">
        <v>13</v>
      </c>
      <c r="G296"/>
      <c r="H296"/>
    </row>
    <row r="297" spans="3:8" x14ac:dyDescent="0.35">
      <c r="C297" s="8" t="s">
        <v>306</v>
      </c>
      <c r="D297" s="1" t="s">
        <v>41</v>
      </c>
      <c r="E297" s="7">
        <f>20*500</f>
        <v>10000</v>
      </c>
      <c r="F297" s="16" t="s">
        <v>13</v>
      </c>
      <c r="G297"/>
      <c r="H297"/>
    </row>
    <row r="298" spans="3:8" x14ac:dyDescent="0.35">
      <c r="C298" s="8" t="s">
        <v>314</v>
      </c>
      <c r="D298" s="1" t="s">
        <v>317</v>
      </c>
      <c r="E298" s="7">
        <v>1400000</v>
      </c>
      <c r="F298" s="16" t="s">
        <v>13</v>
      </c>
      <c r="G298"/>
      <c r="H298"/>
    </row>
    <row r="299" spans="3:8" x14ac:dyDescent="0.35">
      <c r="C299" s="8" t="s">
        <v>314</v>
      </c>
      <c r="D299" s="1" t="s">
        <v>41</v>
      </c>
      <c r="E299" s="7">
        <f>14*500</f>
        <v>7000</v>
      </c>
      <c r="F299" s="16" t="s">
        <v>13</v>
      </c>
      <c r="G299"/>
      <c r="H299"/>
    </row>
    <row r="300" spans="3:8" x14ac:dyDescent="0.35">
      <c r="C300" s="8" t="s">
        <v>306</v>
      </c>
      <c r="D300" s="1" t="s">
        <v>285</v>
      </c>
      <c r="E300" s="7">
        <v>825000</v>
      </c>
      <c r="F300" s="16" t="s">
        <v>285</v>
      </c>
      <c r="G300"/>
      <c r="H300"/>
    </row>
    <row r="301" spans="3:8" x14ac:dyDescent="0.35">
      <c r="C301" s="8" t="s">
        <v>306</v>
      </c>
      <c r="D301" s="1" t="s">
        <v>311</v>
      </c>
      <c r="E301" s="7">
        <f>8.25*400</f>
        <v>3300</v>
      </c>
      <c r="F301" s="16" t="s">
        <v>285</v>
      </c>
      <c r="G301"/>
      <c r="H301"/>
    </row>
    <row r="302" spans="3:8" x14ac:dyDescent="0.35">
      <c r="C302" s="8" t="s">
        <v>306</v>
      </c>
      <c r="D302" s="1" t="s">
        <v>321</v>
      </c>
      <c r="E302" s="7">
        <v>106820</v>
      </c>
      <c r="F302" s="16" t="s">
        <v>14</v>
      </c>
      <c r="G302"/>
      <c r="H302"/>
    </row>
    <row r="303" spans="3:8" x14ac:dyDescent="0.35">
      <c r="C303" s="8" t="s">
        <v>314</v>
      </c>
      <c r="D303" s="1" t="s">
        <v>315</v>
      </c>
      <c r="E303" s="7">
        <v>1000000</v>
      </c>
      <c r="F303" s="16" t="s">
        <v>18</v>
      </c>
      <c r="G303"/>
      <c r="H303"/>
    </row>
    <row r="304" spans="3:8" ht="14" customHeight="1" x14ac:dyDescent="0.35">
      <c r="C304" s="8" t="s">
        <v>314</v>
      </c>
      <c r="D304" s="1" t="s">
        <v>318</v>
      </c>
      <c r="E304" s="7">
        <v>3000</v>
      </c>
      <c r="F304" s="16" t="s">
        <v>18</v>
      </c>
      <c r="G304"/>
      <c r="H304"/>
    </row>
    <row r="305" spans="3:17" ht="14" customHeight="1" x14ac:dyDescent="0.35">
      <c r="C305" s="8" t="s">
        <v>314</v>
      </c>
      <c r="D305" s="1" t="s">
        <v>320</v>
      </c>
      <c r="E305" s="7">
        <v>1000000</v>
      </c>
      <c r="F305" s="16" t="s">
        <v>14</v>
      </c>
      <c r="G305"/>
      <c r="H305"/>
    </row>
    <row r="306" spans="3:17" ht="15" thickBot="1" x14ac:dyDescent="0.4">
      <c r="C306" s="230"/>
      <c r="D306" s="4"/>
      <c r="E306" s="4"/>
      <c r="F306" s="40"/>
      <c r="G306"/>
      <c r="H306"/>
    </row>
    <row r="307" spans="3:17" s="195" customFormat="1" ht="15" thickBot="1" x14ac:dyDescent="0.4">
      <c r="C307" s="231"/>
      <c r="D307" s="3" t="s">
        <v>22</v>
      </c>
      <c r="E307" s="3">
        <f>SUM(E286:E306)</f>
        <v>18632570</v>
      </c>
      <c r="F307" s="14"/>
      <c r="J307" s="57"/>
      <c r="Q307" s="57"/>
    </row>
    <row r="308" spans="3:17" x14ac:dyDescent="0.35">
      <c r="C308" s="8" t="s">
        <v>171</v>
      </c>
      <c r="D308" s="4"/>
      <c r="E308" s="10"/>
      <c r="F308" s="40"/>
    </row>
    <row r="309" spans="3:17" x14ac:dyDescent="0.35">
      <c r="C309" s="9"/>
      <c r="D309" s="4" t="s">
        <v>312</v>
      </c>
      <c r="E309" s="10">
        <f>2500000+1613820+993000</f>
        <v>5106820</v>
      </c>
      <c r="F309" s="40"/>
    </row>
    <row r="310" spans="3:17" x14ac:dyDescent="0.35">
      <c r="C310" s="9"/>
      <c r="D310" s="4" t="s">
        <v>313</v>
      </c>
      <c r="E310" s="10">
        <v>3220000</v>
      </c>
      <c r="F310" s="40"/>
    </row>
    <row r="311" spans="3:17" x14ac:dyDescent="0.35">
      <c r="C311" s="9"/>
      <c r="D311" s="4" t="s">
        <v>319</v>
      </c>
      <c r="E311" s="10">
        <v>1994000</v>
      </c>
      <c r="F311" s="40"/>
    </row>
    <row r="312" spans="3:17" x14ac:dyDescent="0.35">
      <c r="C312" s="9"/>
      <c r="D312" s="4" t="s">
        <v>328</v>
      </c>
      <c r="E312" s="10">
        <f>3950000+1579000</f>
        <v>5529000</v>
      </c>
      <c r="F312" s="40"/>
    </row>
    <row r="313" spans="3:17" x14ac:dyDescent="0.35">
      <c r="C313" s="9"/>
      <c r="D313" s="4" t="s">
        <v>333</v>
      </c>
      <c r="E313" s="10">
        <v>2782750</v>
      </c>
      <c r="F313" s="40"/>
    </row>
    <row r="314" spans="3:17" ht="15" thickBot="1" x14ac:dyDescent="0.4">
      <c r="C314" s="9"/>
      <c r="D314" s="4"/>
      <c r="E314" s="10"/>
      <c r="F314" s="40"/>
    </row>
    <row r="315" spans="3:17" ht="19" thickBot="1" x14ac:dyDescent="0.5">
      <c r="C315" s="12"/>
      <c r="D315" s="202" t="s">
        <v>44</v>
      </c>
      <c r="E315" s="201">
        <f>E307-SUM(E308:E314)</f>
        <v>0</v>
      </c>
      <c r="F315" s="14"/>
    </row>
    <row r="318" spans="3:17" ht="19" thickBot="1" x14ac:dyDescent="0.5">
      <c r="C318" s="262" t="s">
        <v>325</v>
      </c>
      <c r="D318" s="262"/>
      <c r="E318" s="262"/>
      <c r="F318" s="262"/>
    </row>
    <row r="319" spans="3:17" ht="19" thickBot="1" x14ac:dyDescent="0.4">
      <c r="C319" s="203" t="s">
        <v>0</v>
      </c>
      <c r="D319" s="204" t="s">
        <v>24</v>
      </c>
      <c r="E319" s="204" t="s">
        <v>5</v>
      </c>
      <c r="F319" s="205" t="s">
        <v>1</v>
      </c>
    </row>
    <row r="320" spans="3:17" ht="14" customHeight="1" x14ac:dyDescent="0.35">
      <c r="C320" s="177" t="s">
        <v>322</v>
      </c>
      <c r="D320" s="60" t="s">
        <v>316</v>
      </c>
      <c r="E320" s="232">
        <v>500000</v>
      </c>
      <c r="F320" s="61" t="s">
        <v>7</v>
      </c>
      <c r="G320"/>
      <c r="H320"/>
    </row>
    <row r="321" spans="3:8" ht="14" customHeight="1" x14ac:dyDescent="0.35">
      <c r="C321" s="8" t="s">
        <v>322</v>
      </c>
      <c r="D321" s="1" t="s">
        <v>271</v>
      </c>
      <c r="E321" s="7">
        <v>2000</v>
      </c>
      <c r="F321" s="16" t="s">
        <v>7</v>
      </c>
      <c r="G321"/>
      <c r="H321"/>
    </row>
    <row r="322" spans="3:8" ht="14" customHeight="1" x14ac:dyDescent="0.35">
      <c r="C322" s="8" t="s">
        <v>327</v>
      </c>
      <c r="D322" s="1" t="s">
        <v>13</v>
      </c>
      <c r="E322" s="7">
        <v>1500000</v>
      </c>
      <c r="F322" s="16" t="s">
        <v>13</v>
      </c>
      <c r="G322"/>
      <c r="H322"/>
    </row>
    <row r="323" spans="3:8" ht="14" customHeight="1" x14ac:dyDescent="0.35">
      <c r="C323" s="8" t="s">
        <v>327</v>
      </c>
      <c r="D323" s="1" t="s">
        <v>41</v>
      </c>
      <c r="E323" s="7">
        <v>7500</v>
      </c>
      <c r="F323" s="16" t="s">
        <v>13</v>
      </c>
      <c r="G323"/>
      <c r="H323"/>
    </row>
    <row r="324" spans="3:8" ht="14" customHeight="1" x14ac:dyDescent="0.35">
      <c r="C324" s="8" t="s">
        <v>324</v>
      </c>
      <c r="D324" s="1" t="s">
        <v>96</v>
      </c>
      <c r="E324" s="7">
        <v>7000000</v>
      </c>
      <c r="F324" s="16" t="s">
        <v>96</v>
      </c>
      <c r="G324"/>
      <c r="H324"/>
    </row>
    <row r="325" spans="3:8" ht="14" customHeight="1" x14ac:dyDescent="0.35">
      <c r="C325" s="8" t="s">
        <v>324</v>
      </c>
      <c r="D325" s="1" t="s">
        <v>241</v>
      </c>
      <c r="E325" s="7">
        <v>63000</v>
      </c>
      <c r="F325" s="16" t="s">
        <v>96</v>
      </c>
      <c r="G325"/>
      <c r="H325"/>
    </row>
    <row r="326" spans="3:8" x14ac:dyDescent="0.35">
      <c r="C326" s="8" t="s">
        <v>324</v>
      </c>
      <c r="D326" s="1" t="s">
        <v>11</v>
      </c>
      <c r="E326" s="7">
        <v>1070000</v>
      </c>
      <c r="F326" s="16" t="s">
        <v>11</v>
      </c>
    </row>
    <row r="327" spans="3:8" x14ac:dyDescent="0.35">
      <c r="C327" s="8" t="s">
        <v>324</v>
      </c>
      <c r="D327" s="1" t="s">
        <v>278</v>
      </c>
      <c r="E327" s="7">
        <v>4400</v>
      </c>
      <c r="F327" s="16" t="s">
        <v>11</v>
      </c>
    </row>
    <row r="328" spans="3:8" x14ac:dyDescent="0.35">
      <c r="C328" s="8" t="s">
        <v>324</v>
      </c>
      <c r="D328" s="1" t="s">
        <v>254</v>
      </c>
      <c r="E328" s="7">
        <v>400000</v>
      </c>
      <c r="F328" s="16" t="s">
        <v>254</v>
      </c>
    </row>
    <row r="329" spans="3:8" x14ac:dyDescent="0.35">
      <c r="C329" s="8" t="s">
        <v>324</v>
      </c>
      <c r="D329" s="1" t="s">
        <v>255</v>
      </c>
      <c r="E329" s="7">
        <v>1600</v>
      </c>
      <c r="F329" s="16" t="s">
        <v>254</v>
      </c>
    </row>
    <row r="330" spans="3:8" x14ac:dyDescent="0.35">
      <c r="C330" s="8" t="s">
        <v>324</v>
      </c>
      <c r="D330" s="4" t="s">
        <v>329</v>
      </c>
      <c r="E330" s="10">
        <v>1500000</v>
      </c>
      <c r="F330" s="40" t="s">
        <v>14</v>
      </c>
    </row>
    <row r="331" spans="3:8" x14ac:dyDescent="0.35">
      <c r="C331" s="9" t="s">
        <v>334</v>
      </c>
      <c r="D331" s="4" t="s">
        <v>13</v>
      </c>
      <c r="E331" s="10">
        <v>1000000</v>
      </c>
      <c r="F331" s="40" t="s">
        <v>13</v>
      </c>
    </row>
    <row r="332" spans="3:8" x14ac:dyDescent="0.35">
      <c r="C332" s="9" t="s">
        <v>334</v>
      </c>
      <c r="D332" s="4" t="s">
        <v>41</v>
      </c>
      <c r="E332" s="10">
        <v>4000</v>
      </c>
      <c r="F332" s="40" t="s">
        <v>13</v>
      </c>
    </row>
    <row r="333" spans="3:8" x14ac:dyDescent="0.35">
      <c r="C333" s="9" t="s">
        <v>336</v>
      </c>
      <c r="D333" s="4" t="s">
        <v>331</v>
      </c>
      <c r="E333" s="10">
        <v>1000000</v>
      </c>
      <c r="F333" s="40" t="s">
        <v>331</v>
      </c>
    </row>
    <row r="334" spans="3:8" x14ac:dyDescent="0.35">
      <c r="C334" s="9" t="s">
        <v>336</v>
      </c>
      <c r="D334" s="4" t="s">
        <v>337</v>
      </c>
      <c r="E334" s="10">
        <v>4000</v>
      </c>
      <c r="F334" s="40" t="s">
        <v>331</v>
      </c>
    </row>
    <row r="335" spans="3:8" x14ac:dyDescent="0.35">
      <c r="C335" s="9" t="s">
        <v>336</v>
      </c>
      <c r="D335" s="4" t="s">
        <v>15</v>
      </c>
      <c r="E335" s="10">
        <v>5000000</v>
      </c>
      <c r="F335" s="40" t="s">
        <v>15</v>
      </c>
    </row>
    <row r="336" spans="3:8" x14ac:dyDescent="0.35">
      <c r="C336" s="9" t="s">
        <v>336</v>
      </c>
      <c r="D336" s="4" t="s">
        <v>295</v>
      </c>
      <c r="E336" s="10">
        <v>10000</v>
      </c>
      <c r="F336" s="40" t="s">
        <v>15</v>
      </c>
    </row>
    <row r="337" spans="3:6" x14ac:dyDescent="0.35">
      <c r="C337" s="9" t="s">
        <v>336</v>
      </c>
      <c r="D337" s="4" t="s">
        <v>330</v>
      </c>
      <c r="E337" s="10">
        <v>4500000</v>
      </c>
      <c r="F337" s="40" t="s">
        <v>330</v>
      </c>
    </row>
    <row r="338" spans="3:6" x14ac:dyDescent="0.35">
      <c r="C338" s="9" t="s">
        <v>336</v>
      </c>
      <c r="D338" s="4" t="s">
        <v>332</v>
      </c>
      <c r="E338" s="10">
        <f>45*400</f>
        <v>18000</v>
      </c>
      <c r="F338" s="40" t="s">
        <v>330</v>
      </c>
    </row>
    <row r="339" spans="3:6" x14ac:dyDescent="0.35">
      <c r="C339" s="9" t="s">
        <v>336</v>
      </c>
      <c r="D339" s="4" t="s">
        <v>96</v>
      </c>
      <c r="E339" s="10">
        <v>2000000</v>
      </c>
      <c r="F339" s="40" t="s">
        <v>96</v>
      </c>
    </row>
    <row r="340" spans="3:6" x14ac:dyDescent="0.35">
      <c r="C340" s="9" t="s">
        <v>336</v>
      </c>
      <c r="D340" s="4" t="s">
        <v>241</v>
      </c>
      <c r="E340" s="10">
        <v>18000</v>
      </c>
      <c r="F340" s="40" t="s">
        <v>96</v>
      </c>
    </row>
    <row r="341" spans="3:6" x14ac:dyDescent="0.35">
      <c r="C341" s="9" t="s">
        <v>336</v>
      </c>
      <c r="D341" s="4" t="s">
        <v>344</v>
      </c>
      <c r="E341" s="10">
        <v>1000000</v>
      </c>
      <c r="F341" s="40" t="s">
        <v>14</v>
      </c>
    </row>
    <row r="342" spans="3:6" x14ac:dyDescent="0.35">
      <c r="C342" s="9" t="s">
        <v>340</v>
      </c>
      <c r="D342" s="4" t="s">
        <v>338</v>
      </c>
      <c r="E342" s="10">
        <v>2000000</v>
      </c>
      <c r="F342" s="40" t="s">
        <v>338</v>
      </c>
    </row>
    <row r="343" spans="3:6" x14ac:dyDescent="0.35">
      <c r="C343" s="9" t="s">
        <v>340</v>
      </c>
      <c r="D343" s="4" t="s">
        <v>339</v>
      </c>
      <c r="E343" s="10">
        <v>8000</v>
      </c>
      <c r="F343" s="40" t="s">
        <v>338</v>
      </c>
    </row>
    <row r="344" spans="3:6" x14ac:dyDescent="0.35">
      <c r="C344" s="9" t="s">
        <v>340</v>
      </c>
      <c r="D344" s="4" t="s">
        <v>341</v>
      </c>
      <c r="E344" s="10">
        <v>3000000</v>
      </c>
      <c r="F344" s="40" t="s">
        <v>341</v>
      </c>
    </row>
    <row r="345" spans="3:6" x14ac:dyDescent="0.35">
      <c r="C345" s="9" t="s">
        <v>340</v>
      </c>
      <c r="D345" s="4" t="s">
        <v>342</v>
      </c>
      <c r="E345" s="10">
        <v>36000</v>
      </c>
      <c r="F345" s="40" t="s">
        <v>341</v>
      </c>
    </row>
    <row r="346" spans="3:6" x14ac:dyDescent="0.35">
      <c r="C346" s="9"/>
      <c r="D346" s="4"/>
      <c r="E346" s="10"/>
      <c r="F346" s="40"/>
    </row>
    <row r="347" spans="3:6" ht="15" thickBot="1" x14ac:dyDescent="0.4">
      <c r="C347" s="9"/>
      <c r="D347" s="4"/>
      <c r="E347" s="10"/>
      <c r="F347" s="40"/>
    </row>
    <row r="348" spans="3:6" ht="15" thickBot="1" x14ac:dyDescent="0.4">
      <c r="C348" s="88"/>
      <c r="D348" s="233" t="s">
        <v>326</v>
      </c>
      <c r="E348" s="234">
        <f>SUM(E320:E347)</f>
        <v>31646500</v>
      </c>
      <c r="F348" s="131"/>
    </row>
    <row r="349" spans="3:6" x14ac:dyDescent="0.35">
      <c r="C349" s="235" t="s">
        <v>171</v>
      </c>
      <c r="D349" s="4"/>
      <c r="E349" s="10"/>
      <c r="F349" s="40"/>
    </row>
    <row r="350" spans="3:6" x14ac:dyDescent="0.35">
      <c r="C350" s="9"/>
      <c r="D350" s="4" t="s">
        <v>323</v>
      </c>
      <c r="E350" s="10">
        <v>4390700</v>
      </c>
      <c r="F350" s="40"/>
    </row>
    <row r="351" spans="3:6" ht="29" x14ac:dyDescent="0.35">
      <c r="C351" s="9"/>
      <c r="D351" s="244" t="s">
        <v>335</v>
      </c>
      <c r="E351" s="10">
        <f>3000000-E313</f>
        <v>217250</v>
      </c>
      <c r="F351" s="40"/>
    </row>
    <row r="352" spans="3:6" x14ac:dyDescent="0.35">
      <c r="C352" s="9"/>
      <c r="D352" s="244" t="s">
        <v>343</v>
      </c>
      <c r="E352" s="10">
        <v>13800000</v>
      </c>
      <c r="F352" s="40"/>
    </row>
    <row r="353" spans="3:17" x14ac:dyDescent="0.35">
      <c r="C353" s="9"/>
      <c r="D353" s="4"/>
      <c r="E353" s="10"/>
      <c r="F353" s="40"/>
    </row>
    <row r="354" spans="3:17" ht="15" thickBot="1" x14ac:dyDescent="0.4">
      <c r="C354" s="9"/>
      <c r="D354" s="4"/>
      <c r="E354" s="10"/>
      <c r="F354" s="40"/>
    </row>
    <row r="355" spans="3:17" ht="19" thickBot="1" x14ac:dyDescent="0.5">
      <c r="C355" s="12"/>
      <c r="D355" s="202" t="s">
        <v>44</v>
      </c>
      <c r="E355" s="201">
        <f>+E348-SUM(E349:E354)</f>
        <v>13238550</v>
      </c>
      <c r="F355" s="14"/>
    </row>
    <row r="360" spans="3:17" ht="19" thickBot="1" x14ac:dyDescent="0.5">
      <c r="C360" s="262" t="s">
        <v>349</v>
      </c>
      <c r="D360" s="262"/>
      <c r="E360" s="262"/>
      <c r="F360" s="262"/>
    </row>
    <row r="361" spans="3:17" ht="29.5" thickBot="1" x14ac:dyDescent="0.4">
      <c r="C361" s="203" t="s">
        <v>0</v>
      </c>
      <c r="D361" s="204" t="s">
        <v>24</v>
      </c>
      <c r="E361" s="204" t="s">
        <v>5</v>
      </c>
      <c r="F361" s="205" t="s">
        <v>1</v>
      </c>
      <c r="G361"/>
      <c r="H361"/>
      <c r="I361" s="68" t="s">
        <v>89</v>
      </c>
      <c r="J361" s="69" t="s">
        <v>60</v>
      </c>
      <c r="K361" s="69" t="s">
        <v>61</v>
      </c>
      <c r="L361" s="69" t="s">
        <v>62</v>
      </c>
      <c r="M361" s="69" t="s">
        <v>65</v>
      </c>
      <c r="N361" s="69" t="s">
        <v>66</v>
      </c>
      <c r="O361" s="69" t="s">
        <v>5</v>
      </c>
      <c r="P361" s="69" t="s">
        <v>67</v>
      </c>
      <c r="Q361" s="70" t="s">
        <v>64</v>
      </c>
    </row>
    <row r="362" spans="3:17" ht="18.5" x14ac:dyDescent="0.35">
      <c r="C362" s="255"/>
      <c r="D362" s="256"/>
      <c r="E362" s="256"/>
      <c r="F362" s="257"/>
      <c r="G362"/>
      <c r="H362"/>
      <c r="I362" s="74"/>
      <c r="J362" s="75"/>
      <c r="K362" s="75"/>
      <c r="L362" s="75"/>
      <c r="M362" s="75"/>
      <c r="N362" s="75"/>
      <c r="O362" s="75"/>
      <c r="P362" s="75"/>
      <c r="Q362" s="76"/>
    </row>
    <row r="363" spans="3:17" ht="18.5" x14ac:dyDescent="0.35">
      <c r="C363" s="258"/>
      <c r="D363" s="254" t="s">
        <v>350</v>
      </c>
      <c r="E363" s="261">
        <f>E355</f>
        <v>13238550</v>
      </c>
      <c r="F363" s="259"/>
      <c r="G363"/>
      <c r="H363"/>
      <c r="I363" s="218" t="s">
        <v>96</v>
      </c>
      <c r="J363" s="220">
        <v>46114</v>
      </c>
      <c r="K363" s="220">
        <v>46137</v>
      </c>
      <c r="L363" s="221">
        <f>+K363-J363</f>
        <v>23</v>
      </c>
      <c r="M363" s="222">
        <v>0</v>
      </c>
      <c r="N363" s="222">
        <f>L363-M363</f>
        <v>23</v>
      </c>
      <c r="O363" s="221">
        <v>20</v>
      </c>
      <c r="P363" s="221">
        <v>200</v>
      </c>
      <c r="Q363" s="223">
        <f>+N363*O363*(P363)</f>
        <v>92000</v>
      </c>
    </row>
    <row r="364" spans="3:17" x14ac:dyDescent="0.35">
      <c r="C364" s="8" t="s">
        <v>346</v>
      </c>
      <c r="D364" s="1" t="s">
        <v>263</v>
      </c>
      <c r="E364" s="7">
        <v>1000000</v>
      </c>
      <c r="F364" s="16" t="s">
        <v>263</v>
      </c>
      <c r="I364" s="218" t="s">
        <v>348</v>
      </c>
      <c r="J364" s="220">
        <v>46114</v>
      </c>
      <c r="K364" s="220">
        <v>46137</v>
      </c>
      <c r="L364" s="221">
        <f t="shared" ref="L364" si="46">+K364-J364</f>
        <v>23</v>
      </c>
      <c r="M364" s="222">
        <v>0</v>
      </c>
      <c r="N364" s="222">
        <f>L364-M364</f>
        <v>23</v>
      </c>
      <c r="O364" s="221">
        <v>10</v>
      </c>
      <c r="P364" s="221">
        <v>200</v>
      </c>
      <c r="Q364" s="223">
        <f>+N364*O364*P364</f>
        <v>46000</v>
      </c>
    </row>
    <row r="365" spans="3:17" x14ac:dyDescent="0.35">
      <c r="C365" s="8" t="s">
        <v>346</v>
      </c>
      <c r="D365" s="1" t="s">
        <v>264</v>
      </c>
      <c r="E365" s="7">
        <v>3000</v>
      </c>
      <c r="F365" s="16" t="s">
        <v>263</v>
      </c>
      <c r="I365" s="218" t="s">
        <v>338</v>
      </c>
      <c r="J365" s="219">
        <v>46115</v>
      </c>
      <c r="K365" s="220">
        <v>46137</v>
      </c>
      <c r="L365" s="221">
        <f>+K365-J365</f>
        <v>22</v>
      </c>
      <c r="M365" s="222">
        <v>0</v>
      </c>
      <c r="N365" s="222">
        <f t="shared" ref="N365" si="47">L365-M365</f>
        <v>22</v>
      </c>
      <c r="O365" s="221">
        <v>20</v>
      </c>
      <c r="P365" s="221">
        <v>200</v>
      </c>
      <c r="Q365" s="223">
        <f>+N365*O365*P365</f>
        <v>88000</v>
      </c>
    </row>
    <row r="366" spans="3:17" x14ac:dyDescent="0.35">
      <c r="C366" s="8" t="s">
        <v>347</v>
      </c>
      <c r="D366" s="1" t="s">
        <v>7</v>
      </c>
      <c r="E366" s="7">
        <v>450000</v>
      </c>
      <c r="F366" s="16" t="s">
        <v>7</v>
      </c>
      <c r="I366" s="218" t="s">
        <v>341</v>
      </c>
      <c r="J366" s="219">
        <v>46115</v>
      </c>
      <c r="K366" s="220">
        <v>46137</v>
      </c>
      <c r="L366" s="221">
        <f>+K366-J366</f>
        <v>22</v>
      </c>
      <c r="M366" s="222">
        <v>0</v>
      </c>
      <c r="N366" s="222">
        <f>L366-M366</f>
        <v>22</v>
      </c>
      <c r="O366" s="221">
        <v>25</v>
      </c>
      <c r="P366" s="221">
        <v>200</v>
      </c>
      <c r="Q366" s="223">
        <f>+N366*O366*P366</f>
        <v>110000</v>
      </c>
    </row>
    <row r="367" spans="3:17" x14ac:dyDescent="0.35">
      <c r="C367" s="8" t="s">
        <v>347</v>
      </c>
      <c r="D367" s="1" t="s">
        <v>271</v>
      </c>
      <c r="E367" s="7">
        <f>4.5*400</f>
        <v>1800</v>
      </c>
      <c r="F367" s="16" t="s">
        <v>7</v>
      </c>
      <c r="I367" s="19" t="s">
        <v>341</v>
      </c>
      <c r="J367" s="247">
        <v>46115</v>
      </c>
      <c r="K367" s="245">
        <v>46147</v>
      </c>
      <c r="L367" s="20">
        <f>+K367-J367</f>
        <v>32</v>
      </c>
      <c r="M367" s="246">
        <v>0</v>
      </c>
      <c r="N367" s="246">
        <f>L367-M367</f>
        <v>32</v>
      </c>
      <c r="O367" s="20">
        <v>5</v>
      </c>
      <c r="P367" s="20">
        <v>200</v>
      </c>
      <c r="Q367" s="27">
        <f>+N367*O367*P367</f>
        <v>32000</v>
      </c>
    </row>
    <row r="368" spans="3:17" x14ac:dyDescent="0.35">
      <c r="C368" s="8" t="s">
        <v>351</v>
      </c>
      <c r="D368" s="1" t="s">
        <v>14</v>
      </c>
      <c r="E368" s="7">
        <v>4000000</v>
      </c>
      <c r="F368" s="16" t="s">
        <v>14</v>
      </c>
      <c r="G368"/>
      <c r="H368"/>
      <c r="I368" s="19" t="s">
        <v>263</v>
      </c>
      <c r="J368" s="247">
        <v>46116</v>
      </c>
      <c r="K368" s="245">
        <v>46147</v>
      </c>
      <c r="L368" s="20">
        <f t="shared" ref="L368" si="48">+K368-J368</f>
        <v>31</v>
      </c>
      <c r="M368" s="246">
        <v>0</v>
      </c>
      <c r="N368" s="246">
        <f t="shared" ref="N368" si="49">L368-M368</f>
        <v>31</v>
      </c>
      <c r="O368" s="20">
        <v>10</v>
      </c>
      <c r="P368" s="20">
        <v>200</v>
      </c>
      <c r="Q368" s="27">
        <f t="shared" ref="Q368" si="50">+N368*O368*P368</f>
        <v>62000</v>
      </c>
    </row>
    <row r="369" spans="3:17" x14ac:dyDescent="0.35">
      <c r="C369" s="8" t="s">
        <v>351</v>
      </c>
      <c r="D369" s="1" t="s">
        <v>307</v>
      </c>
      <c r="E369" s="7">
        <v>28000</v>
      </c>
      <c r="F369" s="16" t="s">
        <v>14</v>
      </c>
      <c r="G369"/>
      <c r="H369"/>
      <c r="I369" s="19" t="s">
        <v>7</v>
      </c>
      <c r="J369" s="247">
        <v>46120</v>
      </c>
      <c r="K369" s="245">
        <v>46147</v>
      </c>
      <c r="L369" s="20">
        <f>+K369-J369</f>
        <v>27</v>
      </c>
      <c r="M369" s="246">
        <v>0</v>
      </c>
      <c r="N369" s="246">
        <f>L369-M369</f>
        <v>27</v>
      </c>
      <c r="O369" s="20">
        <v>4.5</v>
      </c>
      <c r="P369" s="20">
        <v>200</v>
      </c>
      <c r="Q369" s="27">
        <f>+N369*O369*P369</f>
        <v>24300</v>
      </c>
    </row>
    <row r="370" spans="3:17" x14ac:dyDescent="0.35">
      <c r="C370" s="8" t="s">
        <v>352</v>
      </c>
      <c r="D370" s="1" t="s">
        <v>14</v>
      </c>
      <c r="E370" s="7">
        <v>1000000</v>
      </c>
      <c r="F370" s="16" t="s">
        <v>14</v>
      </c>
      <c r="G370"/>
      <c r="H370"/>
      <c r="I370" s="19" t="s">
        <v>14</v>
      </c>
      <c r="J370" s="247">
        <v>46127</v>
      </c>
      <c r="K370" s="245">
        <v>46147</v>
      </c>
      <c r="L370" s="20">
        <f t="shared" ref="L370:L372" si="51">+K370-J370</f>
        <v>20</v>
      </c>
      <c r="M370" s="246">
        <v>0</v>
      </c>
      <c r="N370" s="246">
        <f t="shared" ref="N370:N372" si="52">L370-M370</f>
        <v>20</v>
      </c>
      <c r="O370" s="20">
        <v>40</v>
      </c>
      <c r="P370" s="20">
        <v>200</v>
      </c>
      <c r="Q370" s="27">
        <f t="shared" ref="Q370:Q372" si="53">+N370*O370*P370</f>
        <v>160000</v>
      </c>
    </row>
    <row r="371" spans="3:17" x14ac:dyDescent="0.35">
      <c r="C371" s="8" t="s">
        <v>352</v>
      </c>
      <c r="D371" s="1" t="s">
        <v>307</v>
      </c>
      <c r="E371" s="7">
        <v>7000</v>
      </c>
      <c r="F371" s="16" t="s">
        <v>14</v>
      </c>
      <c r="G371"/>
      <c r="H371"/>
      <c r="I371" s="36" t="s">
        <v>14</v>
      </c>
      <c r="J371" s="247">
        <v>46128</v>
      </c>
      <c r="K371" s="245">
        <v>46147</v>
      </c>
      <c r="L371" s="20">
        <f t="shared" si="51"/>
        <v>19</v>
      </c>
      <c r="M371" s="246">
        <v>0</v>
      </c>
      <c r="N371" s="246">
        <f t="shared" si="52"/>
        <v>19</v>
      </c>
      <c r="O371" s="20">
        <v>10</v>
      </c>
      <c r="P371" s="20">
        <v>200</v>
      </c>
      <c r="Q371" s="27">
        <f t="shared" si="53"/>
        <v>38000</v>
      </c>
    </row>
    <row r="372" spans="3:17" x14ac:dyDescent="0.35">
      <c r="C372" s="8" t="s">
        <v>353</v>
      </c>
      <c r="D372" s="4" t="s">
        <v>13</v>
      </c>
      <c r="E372" s="7">
        <v>500000</v>
      </c>
      <c r="F372" s="16" t="s">
        <v>13</v>
      </c>
      <c r="G372"/>
      <c r="H372"/>
      <c r="I372" s="19" t="s">
        <v>13</v>
      </c>
      <c r="J372" s="247">
        <v>46129</v>
      </c>
      <c r="K372" s="245">
        <v>46147</v>
      </c>
      <c r="L372" s="20">
        <f t="shared" si="51"/>
        <v>18</v>
      </c>
      <c r="M372" s="246">
        <v>0</v>
      </c>
      <c r="N372" s="246">
        <f t="shared" si="52"/>
        <v>18</v>
      </c>
      <c r="O372" s="20">
        <v>5</v>
      </c>
      <c r="P372" s="20">
        <v>200</v>
      </c>
      <c r="Q372" s="27">
        <f t="shared" si="53"/>
        <v>18000</v>
      </c>
    </row>
    <row r="373" spans="3:17" x14ac:dyDescent="0.35">
      <c r="C373" s="8" t="s">
        <v>353</v>
      </c>
      <c r="D373" s="4" t="s">
        <v>41</v>
      </c>
      <c r="E373" s="7">
        <v>2000</v>
      </c>
      <c r="F373" s="16" t="s">
        <v>13</v>
      </c>
      <c r="G373"/>
      <c r="H373"/>
      <c r="I373" s="19" t="s">
        <v>96</v>
      </c>
      <c r="J373" s="247">
        <v>46141</v>
      </c>
      <c r="K373" s="245">
        <v>46147</v>
      </c>
      <c r="L373" s="20">
        <f t="shared" ref="L373:L375" si="54">+K373-J373</f>
        <v>6</v>
      </c>
      <c r="M373" s="246">
        <v>0</v>
      </c>
      <c r="N373" s="246">
        <f t="shared" ref="N373" si="55">L373-M373</f>
        <v>6</v>
      </c>
      <c r="O373" s="20">
        <v>1.53</v>
      </c>
      <c r="P373" s="20">
        <v>200</v>
      </c>
      <c r="Q373" s="27">
        <f t="shared" ref="Q373" si="56">+N373*O373*P373</f>
        <v>1836</v>
      </c>
    </row>
    <row r="374" spans="3:17" x14ac:dyDescent="0.35">
      <c r="C374" s="8" t="s">
        <v>355</v>
      </c>
      <c r="D374" s="4" t="s">
        <v>96</v>
      </c>
      <c r="E374" s="7">
        <v>153000</v>
      </c>
      <c r="F374" s="16" t="s">
        <v>96</v>
      </c>
      <c r="G374"/>
      <c r="H374"/>
      <c r="I374" s="19" t="s">
        <v>15</v>
      </c>
      <c r="J374" s="247">
        <v>46146</v>
      </c>
      <c r="K374" s="245">
        <v>46147</v>
      </c>
      <c r="L374" s="20">
        <f t="shared" si="54"/>
        <v>1</v>
      </c>
      <c r="M374" s="246"/>
      <c r="N374" s="246"/>
      <c r="O374" s="20">
        <v>10</v>
      </c>
      <c r="P374" s="20">
        <v>200</v>
      </c>
      <c r="Q374" s="27">
        <f t="shared" ref="Q374:Q375" si="57">+N374*O374*P374</f>
        <v>0</v>
      </c>
    </row>
    <row r="375" spans="3:17" x14ac:dyDescent="0.35">
      <c r="C375" s="8" t="s">
        <v>355</v>
      </c>
      <c r="D375" s="4" t="s">
        <v>241</v>
      </c>
      <c r="E375" s="7">
        <v>1000</v>
      </c>
      <c r="F375" s="16" t="s">
        <v>96</v>
      </c>
      <c r="G375"/>
      <c r="H375"/>
      <c r="I375" s="19" t="s">
        <v>9</v>
      </c>
      <c r="J375" s="247">
        <v>46146</v>
      </c>
      <c r="K375" s="245">
        <v>46147</v>
      </c>
      <c r="L375" s="20">
        <f t="shared" si="54"/>
        <v>1</v>
      </c>
      <c r="M375" s="246"/>
      <c r="N375" s="246"/>
      <c r="O375" s="20">
        <v>12</v>
      </c>
      <c r="P375" s="20">
        <v>200</v>
      </c>
      <c r="Q375" s="27">
        <f t="shared" si="57"/>
        <v>0</v>
      </c>
    </row>
    <row r="376" spans="3:17" x14ac:dyDescent="0.35">
      <c r="C376" s="8" t="s">
        <v>356</v>
      </c>
      <c r="D376" s="4" t="s">
        <v>15</v>
      </c>
      <c r="E376" s="7">
        <v>1000000</v>
      </c>
      <c r="F376" s="16" t="s">
        <v>15</v>
      </c>
      <c r="G376"/>
      <c r="H376"/>
      <c r="I376" s="19"/>
      <c r="J376" s="247"/>
      <c r="K376" s="245"/>
      <c r="L376" s="20"/>
      <c r="M376" s="246"/>
      <c r="N376" s="246"/>
      <c r="O376" s="20"/>
      <c r="P376" s="20"/>
      <c r="Q376" s="27"/>
    </row>
    <row r="377" spans="3:17" x14ac:dyDescent="0.35">
      <c r="C377" s="8" t="s">
        <v>356</v>
      </c>
      <c r="D377" s="4" t="s">
        <v>357</v>
      </c>
      <c r="E377" s="7">
        <v>4000</v>
      </c>
      <c r="F377" s="16" t="s">
        <v>15</v>
      </c>
      <c r="G377"/>
      <c r="H377"/>
      <c r="I377" s="19"/>
      <c r="J377" s="247"/>
      <c r="K377" s="245"/>
      <c r="L377" s="20"/>
      <c r="M377" s="246"/>
      <c r="N377" s="246"/>
      <c r="O377" s="20"/>
      <c r="P377" s="20"/>
      <c r="Q377" s="27"/>
    </row>
    <row r="378" spans="3:17" x14ac:dyDescent="0.35">
      <c r="C378" s="8" t="s">
        <v>356</v>
      </c>
      <c r="D378" s="4" t="s">
        <v>9</v>
      </c>
      <c r="E378" s="7">
        <v>1200000</v>
      </c>
      <c r="F378" s="16" t="s">
        <v>9</v>
      </c>
      <c r="G378"/>
      <c r="H378"/>
      <c r="I378" s="19"/>
      <c r="J378" s="247"/>
      <c r="K378" s="245"/>
      <c r="L378" s="20"/>
      <c r="M378" s="246"/>
      <c r="N378" s="246"/>
      <c r="O378" s="20"/>
      <c r="P378" s="20"/>
      <c r="Q378" s="27"/>
    </row>
    <row r="379" spans="3:17" x14ac:dyDescent="0.35">
      <c r="C379" s="8" t="s">
        <v>356</v>
      </c>
      <c r="D379" s="4" t="s">
        <v>270</v>
      </c>
      <c r="E379" s="7">
        <v>4800</v>
      </c>
      <c r="F379" s="16" t="s">
        <v>9</v>
      </c>
      <c r="G379"/>
      <c r="H379"/>
      <c r="I379" s="19"/>
      <c r="J379" s="247"/>
      <c r="K379" s="245"/>
      <c r="L379" s="20"/>
      <c r="M379" s="246"/>
      <c r="N379" s="246"/>
      <c r="O379" s="20"/>
      <c r="P379" s="20"/>
      <c r="Q379" s="27"/>
    </row>
    <row r="380" spans="3:17" x14ac:dyDescent="0.35">
      <c r="C380" s="8" t="s">
        <v>358</v>
      </c>
      <c r="D380" s="4" t="s">
        <v>297</v>
      </c>
      <c r="E380" s="7">
        <f>Q385</f>
        <v>672136</v>
      </c>
      <c r="F380" s="16" t="s">
        <v>14</v>
      </c>
      <c r="G380"/>
      <c r="H380"/>
      <c r="I380" s="19"/>
      <c r="J380" s="247"/>
      <c r="K380" s="245"/>
      <c r="L380" s="20"/>
      <c r="M380" s="246"/>
      <c r="N380" s="246"/>
      <c r="O380" s="20"/>
      <c r="P380" s="20"/>
      <c r="Q380" s="27"/>
    </row>
    <row r="381" spans="3:17" x14ac:dyDescent="0.35">
      <c r="C381" s="8"/>
      <c r="D381" s="1"/>
      <c r="E381" s="7"/>
      <c r="F381" s="16"/>
      <c r="G381"/>
      <c r="H381"/>
      <c r="I381" s="19"/>
      <c r="J381" s="247"/>
      <c r="K381" s="245"/>
      <c r="L381" s="20"/>
      <c r="M381" s="246"/>
      <c r="N381" s="246"/>
      <c r="O381" s="20"/>
      <c r="P381" s="20"/>
      <c r="Q381" s="27"/>
    </row>
    <row r="382" spans="3:17" x14ac:dyDescent="0.35">
      <c r="C382" s="243"/>
      <c r="D382" s="1"/>
      <c r="E382" s="7"/>
      <c r="F382" s="16"/>
      <c r="G382"/>
      <c r="H382"/>
      <c r="I382" s="19"/>
      <c r="J382" s="247"/>
      <c r="K382" s="245"/>
      <c r="L382" s="20"/>
      <c r="M382" s="246"/>
      <c r="N382" s="246"/>
      <c r="O382" s="20"/>
      <c r="P382" s="20"/>
      <c r="Q382" s="27"/>
    </row>
    <row r="383" spans="3:17" ht="15" thickBot="1" x14ac:dyDescent="0.4">
      <c r="C383" s="230"/>
      <c r="D383" s="4"/>
      <c r="E383" s="10"/>
      <c r="F383" s="40"/>
      <c r="G383"/>
      <c r="H383"/>
      <c r="I383" s="19"/>
      <c r="J383" s="247"/>
      <c r="K383" s="245"/>
      <c r="L383" s="20"/>
      <c r="M383" s="246"/>
      <c r="N383" s="246"/>
      <c r="O383" s="20"/>
      <c r="P383" s="20"/>
      <c r="Q383" s="27"/>
    </row>
    <row r="384" spans="3:17" ht="15" thickBot="1" x14ac:dyDescent="0.4">
      <c r="C384" s="260"/>
      <c r="D384" s="233" t="s">
        <v>30</v>
      </c>
      <c r="E384" s="13">
        <f>SUM(E363:E383)</f>
        <v>23265286</v>
      </c>
      <c r="F384" s="131"/>
      <c r="G384"/>
      <c r="H384"/>
      <c r="I384" s="36"/>
      <c r="J384" s="245"/>
      <c r="K384" s="245"/>
      <c r="L384" s="38"/>
      <c r="M384" s="248"/>
      <c r="N384" s="248"/>
      <c r="O384" s="38"/>
      <c r="P384" s="38"/>
      <c r="Q384" s="39"/>
    </row>
    <row r="385" spans="3:17" ht="15" thickBot="1" x14ac:dyDescent="0.4">
      <c r="C385" s="235" t="s">
        <v>171</v>
      </c>
      <c r="D385" s="4"/>
      <c r="E385" s="10"/>
      <c r="F385" s="40"/>
      <c r="G385"/>
      <c r="H385"/>
      <c r="I385" s="249"/>
      <c r="J385" s="250" t="s">
        <v>326</v>
      </c>
      <c r="K385" s="250"/>
      <c r="L385" s="251"/>
      <c r="M385" s="252"/>
      <c r="N385" s="252"/>
      <c r="O385" s="253">
        <f>SUM(O363:O384)</f>
        <v>173.03</v>
      </c>
      <c r="P385" s="251"/>
      <c r="Q385" s="253">
        <f>SUM(Q363:Q384)</f>
        <v>672136</v>
      </c>
    </row>
    <row r="386" spans="3:17" ht="13.5" customHeight="1" x14ac:dyDescent="0.35">
      <c r="C386" s="9"/>
      <c r="D386" s="244" t="s">
        <v>345</v>
      </c>
      <c r="E386" s="10">
        <v>5000000</v>
      </c>
      <c r="F386" s="40"/>
      <c r="G386"/>
      <c r="H386"/>
    </row>
    <row r="387" spans="3:17" ht="13.5" customHeight="1" x14ac:dyDescent="0.35">
      <c r="C387" s="9"/>
      <c r="D387" s="244" t="s">
        <v>354</v>
      </c>
      <c r="E387" s="10">
        <v>7500000</v>
      </c>
      <c r="F387" s="40"/>
      <c r="G387"/>
      <c r="H387"/>
    </row>
    <row r="388" spans="3:17" x14ac:dyDescent="0.35">
      <c r="C388" s="9"/>
      <c r="D388" s="4"/>
      <c r="E388" s="10"/>
      <c r="F388" s="40"/>
      <c r="G388"/>
      <c r="H388"/>
    </row>
    <row r="389" spans="3:17" ht="15" thickBot="1" x14ac:dyDescent="0.4">
      <c r="C389" s="9"/>
      <c r="D389" s="4"/>
      <c r="E389" s="10"/>
      <c r="F389" s="40"/>
      <c r="G389"/>
      <c r="H389"/>
    </row>
    <row r="390" spans="3:17" ht="19" thickBot="1" x14ac:dyDescent="0.5">
      <c r="C390" s="12"/>
      <c r="D390" s="202" t="s">
        <v>44</v>
      </c>
      <c r="E390" s="201">
        <f>+E384-SUM(E385:E389)</f>
        <v>10765286</v>
      </c>
      <c r="F390" s="14"/>
      <c r="G390"/>
      <c r="H390"/>
    </row>
    <row r="391" spans="3:17" x14ac:dyDescent="0.35">
      <c r="C391"/>
      <c r="E391"/>
      <c r="G391"/>
      <c r="H391"/>
    </row>
    <row r="392" spans="3:17" x14ac:dyDescent="0.35">
      <c r="C392"/>
      <c r="E392"/>
      <c r="G392"/>
      <c r="H392"/>
    </row>
  </sheetData>
  <mergeCells count="10">
    <mergeCell ref="C3:F3"/>
    <mergeCell ref="C33:F33"/>
    <mergeCell ref="C72:F72"/>
    <mergeCell ref="C111:F111"/>
    <mergeCell ref="C139:F139"/>
    <mergeCell ref="C318:F318"/>
    <mergeCell ref="C284:F284"/>
    <mergeCell ref="C221:F221"/>
    <mergeCell ref="I147:I148"/>
    <mergeCell ref="C360:F3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0706-BF2A-4CA7-8B30-A853F6AB1D1E}">
  <dimension ref="A1"/>
  <sheetViews>
    <sheetView topLeftCell="A4" workbookViewId="0">
      <selection activeCell="C6" sqref="C6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93"/>
  <sheetViews>
    <sheetView topLeftCell="A25" workbookViewId="0">
      <selection activeCell="J85" sqref="J85"/>
    </sheetView>
  </sheetViews>
  <sheetFormatPr defaultRowHeight="14.5" x14ac:dyDescent="0.35"/>
  <cols>
    <col min="1" max="1" width="5.36328125" customWidth="1"/>
    <col min="2" max="2" width="11.36328125" bestFit="1" customWidth="1"/>
    <col min="3" max="3" width="21.6328125" bestFit="1" customWidth="1"/>
    <col min="4" max="4" width="11.1796875" bestFit="1" customWidth="1"/>
    <col min="5" max="5" width="9.6328125" bestFit="1" customWidth="1"/>
    <col min="6" max="6" width="7.453125" bestFit="1" customWidth="1"/>
    <col min="7" max="7" width="11.90625" bestFit="1" customWidth="1"/>
    <col min="8" max="8" width="7.26953125" customWidth="1"/>
    <col min="9" max="9" width="8.81640625" bestFit="1" customWidth="1"/>
    <col min="10" max="10" width="8.54296875" bestFit="1" customWidth="1"/>
  </cols>
  <sheetData>
    <row r="1" spans="2:10" ht="15" thickBot="1" x14ac:dyDescent="0.4"/>
    <row r="2" spans="2:10" ht="62.5" thickBot="1" x14ac:dyDescent="0.4">
      <c r="B2" s="93" t="s">
        <v>0</v>
      </c>
      <c r="C2" s="62" t="s">
        <v>121</v>
      </c>
      <c r="D2" s="94" t="s">
        <v>5</v>
      </c>
      <c r="E2" s="94" t="s">
        <v>122</v>
      </c>
      <c r="F2" s="94" t="s">
        <v>123</v>
      </c>
      <c r="G2" s="95" t="s">
        <v>124</v>
      </c>
      <c r="H2" s="95" t="s">
        <v>125</v>
      </c>
      <c r="I2" s="96" t="s">
        <v>126</v>
      </c>
      <c r="J2" s="97" t="s">
        <v>127</v>
      </c>
    </row>
    <row r="3" spans="2:10" ht="15.5" x14ac:dyDescent="0.35">
      <c r="B3" s="98" t="s">
        <v>128</v>
      </c>
      <c r="C3" s="99" t="s">
        <v>129</v>
      </c>
      <c r="D3" s="100">
        <v>220000</v>
      </c>
      <c r="E3" s="101">
        <v>6.5000000000000002E-2</v>
      </c>
      <c r="F3" s="102">
        <v>7.4999999999999997E-2</v>
      </c>
      <c r="G3" s="103">
        <f t="shared" ref="G3:G29" si="0">+D3*E3</f>
        <v>14300</v>
      </c>
      <c r="H3" s="103">
        <f t="shared" ref="H3:H29" si="1">+D3-G3</f>
        <v>205700</v>
      </c>
      <c r="I3" s="103">
        <f t="shared" ref="I3:I29" si="2">+D3-(D3*F3)</f>
        <v>203500</v>
      </c>
      <c r="J3" s="104">
        <f t="shared" ref="J3:J29" si="3">+H3-I3</f>
        <v>2200</v>
      </c>
    </row>
    <row r="4" spans="2:10" ht="15.5" x14ac:dyDescent="0.35">
      <c r="B4" s="105" t="s">
        <v>130</v>
      </c>
      <c r="C4" s="106" t="s">
        <v>129</v>
      </c>
      <c r="D4" s="107">
        <v>1123000</v>
      </c>
      <c r="E4" s="108">
        <v>6.5000000000000002E-2</v>
      </c>
      <c r="F4" s="109">
        <v>7.4999999999999997E-2</v>
      </c>
      <c r="G4" s="110">
        <f t="shared" si="0"/>
        <v>72995</v>
      </c>
      <c r="H4" s="110">
        <f t="shared" si="1"/>
        <v>1050005</v>
      </c>
      <c r="I4" s="110">
        <f t="shared" si="2"/>
        <v>1038775</v>
      </c>
      <c r="J4" s="111">
        <f t="shared" si="3"/>
        <v>11230</v>
      </c>
    </row>
    <row r="5" spans="2:10" ht="15.5" x14ac:dyDescent="0.35">
      <c r="B5" s="105" t="s">
        <v>20</v>
      </c>
      <c r="C5" s="106" t="s">
        <v>129</v>
      </c>
      <c r="D5" s="107">
        <v>230000</v>
      </c>
      <c r="E5" s="108">
        <v>6.5000000000000002E-2</v>
      </c>
      <c r="F5" s="109">
        <v>7.4999999999999997E-2</v>
      </c>
      <c r="G5" s="110">
        <f t="shared" si="0"/>
        <v>14950</v>
      </c>
      <c r="H5" s="110">
        <f t="shared" si="1"/>
        <v>215050</v>
      </c>
      <c r="I5" s="110">
        <f t="shared" si="2"/>
        <v>212750</v>
      </c>
      <c r="J5" s="111">
        <f t="shared" si="3"/>
        <v>2300</v>
      </c>
    </row>
    <row r="6" spans="2:10" ht="15.5" x14ac:dyDescent="0.35">
      <c r="B6" s="105" t="s">
        <v>21</v>
      </c>
      <c r="C6" s="106" t="s">
        <v>129</v>
      </c>
      <c r="D6" s="107">
        <v>369500</v>
      </c>
      <c r="E6" s="108">
        <v>6.5000000000000002E-2</v>
      </c>
      <c r="F6" s="109">
        <v>7.4999999999999997E-2</v>
      </c>
      <c r="G6" s="110">
        <f t="shared" si="0"/>
        <v>24017.5</v>
      </c>
      <c r="H6" s="110">
        <f t="shared" si="1"/>
        <v>345482.5</v>
      </c>
      <c r="I6" s="110">
        <f t="shared" si="2"/>
        <v>341787.5</v>
      </c>
      <c r="J6" s="111">
        <f t="shared" si="3"/>
        <v>3695</v>
      </c>
    </row>
    <row r="7" spans="2:10" ht="15.5" x14ac:dyDescent="0.35">
      <c r="B7" s="105" t="s">
        <v>130</v>
      </c>
      <c r="C7" s="106" t="s">
        <v>131</v>
      </c>
      <c r="D7" s="107">
        <v>1275000</v>
      </c>
      <c r="E7" s="108">
        <v>6.5000000000000002E-2</v>
      </c>
      <c r="F7" s="109">
        <v>7.4999999999999997E-2</v>
      </c>
      <c r="G7" s="110">
        <f t="shared" si="0"/>
        <v>82875</v>
      </c>
      <c r="H7" s="110">
        <f t="shared" si="1"/>
        <v>1192125</v>
      </c>
      <c r="I7" s="110">
        <f t="shared" si="2"/>
        <v>1179375</v>
      </c>
      <c r="J7" s="111">
        <f t="shared" si="3"/>
        <v>12750</v>
      </c>
    </row>
    <row r="8" spans="2:10" ht="15.5" x14ac:dyDescent="0.35">
      <c r="B8" s="105" t="s">
        <v>130</v>
      </c>
      <c r="C8" s="106" t="s">
        <v>131</v>
      </c>
      <c r="D8" s="107">
        <v>870000</v>
      </c>
      <c r="E8" s="108">
        <v>6.5000000000000002E-2</v>
      </c>
      <c r="F8" s="109">
        <v>7.4999999999999997E-2</v>
      </c>
      <c r="G8" s="110">
        <f t="shared" si="0"/>
        <v>56550</v>
      </c>
      <c r="H8" s="110">
        <f t="shared" si="1"/>
        <v>813450</v>
      </c>
      <c r="I8" s="110">
        <f t="shared" si="2"/>
        <v>804750</v>
      </c>
      <c r="J8" s="111">
        <f t="shared" si="3"/>
        <v>8700</v>
      </c>
    </row>
    <row r="9" spans="2:10" ht="15.5" x14ac:dyDescent="0.35">
      <c r="B9" s="105" t="s">
        <v>130</v>
      </c>
      <c r="C9" s="106" t="s">
        <v>131</v>
      </c>
      <c r="D9" s="107">
        <v>480000</v>
      </c>
      <c r="E9" s="108">
        <v>6.5000000000000002E-2</v>
      </c>
      <c r="F9" s="109">
        <v>7.4999999999999997E-2</v>
      </c>
      <c r="G9" s="110">
        <f t="shared" si="0"/>
        <v>31200</v>
      </c>
      <c r="H9" s="110">
        <f t="shared" si="1"/>
        <v>448800</v>
      </c>
      <c r="I9" s="110">
        <f t="shared" si="2"/>
        <v>444000</v>
      </c>
      <c r="J9" s="111">
        <f t="shared" si="3"/>
        <v>4800</v>
      </c>
    </row>
    <row r="10" spans="2:10" ht="15.5" x14ac:dyDescent="0.35">
      <c r="B10" s="105" t="s">
        <v>19</v>
      </c>
      <c r="C10" s="106" t="s">
        <v>131</v>
      </c>
      <c r="D10" s="107">
        <v>869500</v>
      </c>
      <c r="E10" s="108">
        <v>6.5000000000000002E-2</v>
      </c>
      <c r="F10" s="109">
        <v>7.4999999999999997E-2</v>
      </c>
      <c r="G10" s="110">
        <f t="shared" si="0"/>
        <v>56517.5</v>
      </c>
      <c r="H10" s="110">
        <f t="shared" si="1"/>
        <v>812982.5</v>
      </c>
      <c r="I10" s="110">
        <f t="shared" si="2"/>
        <v>804287.5</v>
      </c>
      <c r="J10" s="111">
        <f t="shared" si="3"/>
        <v>8695</v>
      </c>
    </row>
    <row r="11" spans="2:10" ht="15.5" x14ac:dyDescent="0.35">
      <c r="B11" s="105" t="s">
        <v>20</v>
      </c>
      <c r="C11" s="106" t="s">
        <v>131</v>
      </c>
      <c r="D11" s="107">
        <v>863000</v>
      </c>
      <c r="E11" s="108">
        <v>6.5000000000000002E-2</v>
      </c>
      <c r="F11" s="109">
        <v>7.4999999999999997E-2</v>
      </c>
      <c r="G11" s="110">
        <f t="shared" si="0"/>
        <v>56095</v>
      </c>
      <c r="H11" s="110">
        <f t="shared" si="1"/>
        <v>806905</v>
      </c>
      <c r="I11" s="110">
        <f t="shared" si="2"/>
        <v>798275</v>
      </c>
      <c r="J11" s="111">
        <f t="shared" si="3"/>
        <v>8630</v>
      </c>
    </row>
    <row r="12" spans="2:10" ht="15.5" x14ac:dyDescent="0.35">
      <c r="B12" s="105" t="s">
        <v>20</v>
      </c>
      <c r="C12" s="106" t="s">
        <v>131</v>
      </c>
      <c r="D12" s="107">
        <v>434000</v>
      </c>
      <c r="E12" s="108">
        <v>6.5000000000000002E-2</v>
      </c>
      <c r="F12" s="109">
        <v>7.4999999999999997E-2</v>
      </c>
      <c r="G12" s="110">
        <f t="shared" si="0"/>
        <v>28210</v>
      </c>
      <c r="H12" s="110">
        <f t="shared" si="1"/>
        <v>405790</v>
      </c>
      <c r="I12" s="110">
        <f t="shared" si="2"/>
        <v>401450</v>
      </c>
      <c r="J12" s="111">
        <f t="shared" si="3"/>
        <v>4340</v>
      </c>
    </row>
    <row r="13" spans="2:10" ht="15.5" x14ac:dyDescent="0.35">
      <c r="B13" s="105" t="s">
        <v>132</v>
      </c>
      <c r="C13" s="106" t="s">
        <v>131</v>
      </c>
      <c r="D13" s="107">
        <v>543000</v>
      </c>
      <c r="E13" s="108">
        <v>6.5000000000000002E-2</v>
      </c>
      <c r="F13" s="109">
        <v>7.4999999999999997E-2</v>
      </c>
      <c r="G13" s="110">
        <f t="shared" si="0"/>
        <v>35295</v>
      </c>
      <c r="H13" s="110">
        <f t="shared" si="1"/>
        <v>507705</v>
      </c>
      <c r="I13" s="110">
        <f t="shared" si="2"/>
        <v>502275</v>
      </c>
      <c r="J13" s="111">
        <f t="shared" si="3"/>
        <v>5430</v>
      </c>
    </row>
    <row r="14" spans="2:10" ht="15.5" x14ac:dyDescent="0.35">
      <c r="B14" s="105" t="s">
        <v>16</v>
      </c>
      <c r="C14" s="106" t="s">
        <v>131</v>
      </c>
      <c r="D14" s="107">
        <v>437000</v>
      </c>
      <c r="E14" s="108">
        <v>6.5000000000000002E-2</v>
      </c>
      <c r="F14" s="109">
        <v>7.4999999999999997E-2</v>
      </c>
      <c r="G14" s="110">
        <f t="shared" si="0"/>
        <v>28405</v>
      </c>
      <c r="H14" s="110">
        <f t="shared" si="1"/>
        <v>408595</v>
      </c>
      <c r="I14" s="110">
        <f t="shared" si="2"/>
        <v>404225</v>
      </c>
      <c r="J14" s="111">
        <f t="shared" si="3"/>
        <v>4370</v>
      </c>
    </row>
    <row r="15" spans="2:10" ht="15.5" x14ac:dyDescent="0.35">
      <c r="B15" s="105" t="s">
        <v>17</v>
      </c>
      <c r="C15" s="106" t="s">
        <v>131</v>
      </c>
      <c r="D15" s="107">
        <v>544000</v>
      </c>
      <c r="E15" s="108">
        <v>6.5000000000000002E-2</v>
      </c>
      <c r="F15" s="109">
        <v>7.4999999999999997E-2</v>
      </c>
      <c r="G15" s="110">
        <f t="shared" si="0"/>
        <v>35360</v>
      </c>
      <c r="H15" s="110">
        <f t="shared" si="1"/>
        <v>508640</v>
      </c>
      <c r="I15" s="110">
        <f t="shared" si="2"/>
        <v>503200</v>
      </c>
      <c r="J15" s="111">
        <f t="shared" si="3"/>
        <v>5440</v>
      </c>
    </row>
    <row r="16" spans="2:10" ht="15.5" x14ac:dyDescent="0.35">
      <c r="B16" s="105" t="s">
        <v>17</v>
      </c>
      <c r="C16" s="106" t="s">
        <v>131</v>
      </c>
      <c r="D16" s="107">
        <v>544000</v>
      </c>
      <c r="E16" s="108">
        <v>6.5000000000000002E-2</v>
      </c>
      <c r="F16" s="109">
        <v>7.4999999999999997E-2</v>
      </c>
      <c r="G16" s="110">
        <f t="shared" si="0"/>
        <v>35360</v>
      </c>
      <c r="H16" s="110">
        <f t="shared" si="1"/>
        <v>508640</v>
      </c>
      <c r="I16" s="110">
        <f t="shared" si="2"/>
        <v>503200</v>
      </c>
      <c r="J16" s="111">
        <f t="shared" si="3"/>
        <v>5440</v>
      </c>
    </row>
    <row r="17" spans="2:10" ht="15.5" x14ac:dyDescent="0.35">
      <c r="B17" s="105" t="s">
        <v>42</v>
      </c>
      <c r="C17" s="106" t="s">
        <v>129</v>
      </c>
      <c r="D17" s="107">
        <v>534200</v>
      </c>
      <c r="E17" s="108">
        <v>6.5000000000000002E-2</v>
      </c>
      <c r="F17" s="109">
        <v>7.4999999999999997E-2</v>
      </c>
      <c r="G17" s="110">
        <f t="shared" si="0"/>
        <v>34723</v>
      </c>
      <c r="H17" s="110">
        <f t="shared" si="1"/>
        <v>499477</v>
      </c>
      <c r="I17" s="110">
        <f t="shared" si="2"/>
        <v>494135</v>
      </c>
      <c r="J17" s="111">
        <f t="shared" si="3"/>
        <v>5342</v>
      </c>
    </row>
    <row r="18" spans="2:10" ht="15.5" x14ac:dyDescent="0.35">
      <c r="B18" s="105" t="s">
        <v>42</v>
      </c>
      <c r="C18" s="106" t="s">
        <v>129</v>
      </c>
      <c r="D18" s="107">
        <v>614000</v>
      </c>
      <c r="E18" s="108">
        <v>6.5000000000000002E-2</v>
      </c>
      <c r="F18" s="109">
        <v>7.4999999999999997E-2</v>
      </c>
      <c r="G18" s="110">
        <f t="shared" si="0"/>
        <v>39910</v>
      </c>
      <c r="H18" s="110">
        <f t="shared" si="1"/>
        <v>574090</v>
      </c>
      <c r="I18" s="110">
        <f t="shared" si="2"/>
        <v>567950</v>
      </c>
      <c r="J18" s="111">
        <f t="shared" si="3"/>
        <v>6140</v>
      </c>
    </row>
    <row r="19" spans="2:10" ht="15.5" x14ac:dyDescent="0.35">
      <c r="B19" s="105" t="s">
        <v>42</v>
      </c>
      <c r="C19" s="106" t="s">
        <v>129</v>
      </c>
      <c r="D19" s="107">
        <v>369500</v>
      </c>
      <c r="E19" s="108">
        <v>6.5000000000000002E-2</v>
      </c>
      <c r="F19" s="109">
        <v>7.4999999999999997E-2</v>
      </c>
      <c r="G19" s="110">
        <f t="shared" si="0"/>
        <v>24017.5</v>
      </c>
      <c r="H19" s="110">
        <f t="shared" si="1"/>
        <v>345482.5</v>
      </c>
      <c r="I19" s="110">
        <f t="shared" si="2"/>
        <v>341787.5</v>
      </c>
      <c r="J19" s="111">
        <f t="shared" si="3"/>
        <v>3695</v>
      </c>
    </row>
    <row r="20" spans="2:10" ht="15.5" x14ac:dyDescent="0.35">
      <c r="B20" s="105" t="s">
        <v>69</v>
      </c>
      <c r="C20" s="106" t="s">
        <v>133</v>
      </c>
      <c r="D20" s="107">
        <v>517000</v>
      </c>
      <c r="E20" s="108">
        <v>6.5000000000000002E-2</v>
      </c>
      <c r="F20" s="109">
        <v>7.4999999999999997E-2</v>
      </c>
      <c r="G20" s="110">
        <f t="shared" si="0"/>
        <v>33605</v>
      </c>
      <c r="H20" s="110">
        <f t="shared" si="1"/>
        <v>483395</v>
      </c>
      <c r="I20" s="110">
        <f t="shared" si="2"/>
        <v>478225</v>
      </c>
      <c r="J20" s="111">
        <f t="shared" si="3"/>
        <v>5170</v>
      </c>
    </row>
    <row r="21" spans="2:10" ht="15.5" x14ac:dyDescent="0.35">
      <c r="B21" s="105" t="s">
        <v>69</v>
      </c>
      <c r="C21" s="106" t="s">
        <v>133</v>
      </c>
      <c r="D21" s="107">
        <v>450000</v>
      </c>
      <c r="E21" s="108">
        <v>6.5000000000000002E-2</v>
      </c>
      <c r="F21" s="109">
        <v>7.4999999999999997E-2</v>
      </c>
      <c r="G21" s="110">
        <f t="shared" si="0"/>
        <v>29250</v>
      </c>
      <c r="H21" s="110">
        <f t="shared" si="1"/>
        <v>420750</v>
      </c>
      <c r="I21" s="110">
        <f t="shared" si="2"/>
        <v>416250</v>
      </c>
      <c r="J21" s="111">
        <f t="shared" si="3"/>
        <v>4500</v>
      </c>
    </row>
    <row r="22" spans="2:10" ht="15.5" x14ac:dyDescent="0.35">
      <c r="B22" s="105" t="s">
        <v>69</v>
      </c>
      <c r="C22" s="106" t="s">
        <v>133</v>
      </c>
      <c r="D22" s="107">
        <v>33000</v>
      </c>
      <c r="E22" s="108">
        <v>6.5000000000000002E-2</v>
      </c>
      <c r="F22" s="109">
        <v>7.4999999999999997E-2</v>
      </c>
      <c r="G22" s="110">
        <f t="shared" si="0"/>
        <v>2145</v>
      </c>
      <c r="H22" s="110">
        <f t="shared" si="1"/>
        <v>30855</v>
      </c>
      <c r="I22" s="110">
        <f t="shared" si="2"/>
        <v>30525</v>
      </c>
      <c r="J22" s="111">
        <f t="shared" si="3"/>
        <v>330</v>
      </c>
    </row>
    <row r="23" spans="2:10" ht="15.5" x14ac:dyDescent="0.35">
      <c r="B23" s="105" t="s">
        <v>69</v>
      </c>
      <c r="C23" s="106" t="s">
        <v>133</v>
      </c>
      <c r="D23" s="107">
        <v>206000</v>
      </c>
      <c r="E23" s="108">
        <v>6.5000000000000002E-2</v>
      </c>
      <c r="F23" s="109">
        <v>7.4999999999999997E-2</v>
      </c>
      <c r="G23" s="110">
        <f t="shared" si="0"/>
        <v>13390</v>
      </c>
      <c r="H23" s="110">
        <f t="shared" si="1"/>
        <v>192610</v>
      </c>
      <c r="I23" s="110">
        <f t="shared" si="2"/>
        <v>190550</v>
      </c>
      <c r="J23" s="111">
        <f t="shared" si="3"/>
        <v>2060</v>
      </c>
    </row>
    <row r="24" spans="2:10" ht="15.5" x14ac:dyDescent="0.35">
      <c r="B24" s="105" t="s">
        <v>82</v>
      </c>
      <c r="C24" s="106" t="s">
        <v>129</v>
      </c>
      <c r="D24" s="107">
        <v>550000</v>
      </c>
      <c r="E24" s="108">
        <v>6.5000000000000002E-2</v>
      </c>
      <c r="F24" s="109">
        <v>7.4999999999999997E-2</v>
      </c>
      <c r="G24" s="110">
        <f t="shared" si="0"/>
        <v>35750</v>
      </c>
      <c r="H24" s="110">
        <f t="shared" si="1"/>
        <v>514250</v>
      </c>
      <c r="I24" s="110">
        <f t="shared" si="2"/>
        <v>508750</v>
      </c>
      <c r="J24" s="111">
        <f t="shared" si="3"/>
        <v>5500</v>
      </c>
    </row>
    <row r="25" spans="2:10" ht="15.5" x14ac:dyDescent="0.35">
      <c r="B25" s="105" t="s">
        <v>82</v>
      </c>
      <c r="C25" s="106" t="s">
        <v>129</v>
      </c>
      <c r="D25" s="107">
        <v>417000</v>
      </c>
      <c r="E25" s="108">
        <v>6.5000000000000002E-2</v>
      </c>
      <c r="F25" s="109">
        <v>7.4999999999999997E-2</v>
      </c>
      <c r="G25" s="110">
        <f t="shared" si="0"/>
        <v>27105</v>
      </c>
      <c r="H25" s="110">
        <f t="shared" si="1"/>
        <v>389895</v>
      </c>
      <c r="I25" s="110">
        <f t="shared" si="2"/>
        <v>385725</v>
      </c>
      <c r="J25" s="111">
        <f t="shared" si="3"/>
        <v>4170</v>
      </c>
    </row>
    <row r="26" spans="2:10" ht="15.5" x14ac:dyDescent="0.35">
      <c r="B26" s="105" t="s">
        <v>88</v>
      </c>
      <c r="C26" s="106" t="s">
        <v>133</v>
      </c>
      <c r="D26" s="107">
        <v>543000</v>
      </c>
      <c r="E26" s="108">
        <v>6.5000000000000002E-2</v>
      </c>
      <c r="F26" s="109">
        <v>7.4999999999999997E-2</v>
      </c>
      <c r="G26" s="110">
        <f t="shared" si="0"/>
        <v>35295</v>
      </c>
      <c r="H26" s="110">
        <f t="shared" si="1"/>
        <v>507705</v>
      </c>
      <c r="I26" s="110">
        <f t="shared" si="2"/>
        <v>502275</v>
      </c>
      <c r="J26" s="111">
        <f t="shared" si="3"/>
        <v>5430</v>
      </c>
    </row>
    <row r="27" spans="2:10" ht="15.5" x14ac:dyDescent="0.35">
      <c r="B27" s="105" t="s">
        <v>91</v>
      </c>
      <c r="C27" s="106" t="s">
        <v>133</v>
      </c>
      <c r="D27" s="107">
        <v>194000</v>
      </c>
      <c r="E27" s="108">
        <v>6.5000000000000002E-2</v>
      </c>
      <c r="F27" s="109">
        <v>7.4999999999999997E-2</v>
      </c>
      <c r="G27" s="110">
        <f t="shared" si="0"/>
        <v>12610</v>
      </c>
      <c r="H27" s="110">
        <f t="shared" si="1"/>
        <v>181390</v>
      </c>
      <c r="I27" s="110">
        <f t="shared" si="2"/>
        <v>179450</v>
      </c>
      <c r="J27" s="111">
        <f t="shared" si="3"/>
        <v>1940</v>
      </c>
    </row>
    <row r="28" spans="2:10" ht="15.5" x14ac:dyDescent="0.35">
      <c r="B28" s="105" t="s">
        <v>94</v>
      </c>
      <c r="C28" s="106" t="s">
        <v>133</v>
      </c>
      <c r="D28" s="107">
        <v>556000</v>
      </c>
      <c r="E28" s="108">
        <v>6.5000000000000002E-2</v>
      </c>
      <c r="F28" s="109">
        <v>7.4999999999999997E-2</v>
      </c>
      <c r="G28" s="110">
        <f t="shared" si="0"/>
        <v>36140</v>
      </c>
      <c r="H28" s="110">
        <f t="shared" si="1"/>
        <v>519860</v>
      </c>
      <c r="I28" s="110">
        <f t="shared" si="2"/>
        <v>514300</v>
      </c>
      <c r="J28" s="111">
        <f t="shared" si="3"/>
        <v>5560</v>
      </c>
    </row>
    <row r="29" spans="2:10" ht="15.5" x14ac:dyDescent="0.35">
      <c r="B29" s="105" t="s">
        <v>94</v>
      </c>
      <c r="C29" s="106" t="s">
        <v>133</v>
      </c>
      <c r="D29" s="107">
        <v>530000</v>
      </c>
      <c r="E29" s="108">
        <v>6.5000000000000002E-2</v>
      </c>
      <c r="F29" s="109">
        <v>7.4999999999999997E-2</v>
      </c>
      <c r="G29" s="110">
        <f t="shared" si="0"/>
        <v>34450</v>
      </c>
      <c r="H29" s="110">
        <f t="shared" si="1"/>
        <v>495550</v>
      </c>
      <c r="I29" s="110">
        <f t="shared" si="2"/>
        <v>490250</v>
      </c>
      <c r="J29" s="111">
        <f t="shared" si="3"/>
        <v>5300</v>
      </c>
    </row>
    <row r="30" spans="2:10" ht="15.5" x14ac:dyDescent="0.35">
      <c r="B30" s="105"/>
      <c r="C30" s="106"/>
      <c r="D30" s="107"/>
      <c r="E30" s="108"/>
      <c r="F30" s="109"/>
      <c r="G30" s="110"/>
      <c r="H30" s="110"/>
      <c r="I30" s="110"/>
      <c r="J30" s="111"/>
    </row>
    <row r="31" spans="2:10" ht="15.5" x14ac:dyDescent="0.35">
      <c r="B31" s="105"/>
      <c r="C31" s="106"/>
      <c r="D31" s="107"/>
      <c r="E31" s="108"/>
      <c r="F31" s="109"/>
      <c r="G31" s="110"/>
      <c r="H31" s="110"/>
      <c r="I31" s="110"/>
      <c r="J31" s="111"/>
    </row>
    <row r="32" spans="2:10" ht="15.5" x14ac:dyDescent="0.35">
      <c r="B32" s="105"/>
      <c r="C32" s="106"/>
      <c r="D32" s="107"/>
      <c r="E32" s="108"/>
      <c r="F32" s="109"/>
      <c r="G32" s="110"/>
      <c r="H32" s="110"/>
      <c r="I32" s="110"/>
      <c r="J32" s="111"/>
    </row>
    <row r="33" spans="2:10" ht="15.5" x14ac:dyDescent="0.35">
      <c r="B33" s="105"/>
      <c r="C33" s="106"/>
      <c r="D33" s="107"/>
      <c r="E33" s="108"/>
      <c r="F33" s="109"/>
      <c r="G33" s="110"/>
      <c r="H33" s="110"/>
      <c r="I33" s="110"/>
      <c r="J33" s="111"/>
    </row>
    <row r="34" spans="2:10" ht="15.5" x14ac:dyDescent="0.35">
      <c r="B34" s="105"/>
      <c r="C34" s="106"/>
      <c r="D34" s="107"/>
      <c r="E34" s="108"/>
      <c r="F34" s="109"/>
      <c r="G34" s="110"/>
      <c r="H34" s="110"/>
      <c r="I34" s="110"/>
      <c r="J34" s="111"/>
    </row>
    <row r="35" spans="2:10" ht="15.5" x14ac:dyDescent="0.35">
      <c r="B35" s="105"/>
      <c r="C35" s="106"/>
      <c r="D35" s="107"/>
      <c r="E35" s="108"/>
      <c r="F35" s="109"/>
      <c r="G35" s="110"/>
      <c r="H35" s="110"/>
      <c r="I35" s="110"/>
      <c r="J35" s="111"/>
    </row>
    <row r="36" spans="2:10" ht="15.5" x14ac:dyDescent="0.35">
      <c r="B36" s="105"/>
      <c r="C36" s="106"/>
      <c r="D36" s="107"/>
      <c r="E36" s="108"/>
      <c r="F36" s="109"/>
      <c r="G36" s="110"/>
      <c r="H36" s="110"/>
      <c r="I36" s="110"/>
      <c r="J36" s="111"/>
    </row>
    <row r="37" spans="2:10" ht="15.5" x14ac:dyDescent="0.35">
      <c r="B37" s="112"/>
      <c r="C37" s="113"/>
      <c r="D37" s="114"/>
      <c r="E37" s="115"/>
      <c r="F37" s="116"/>
      <c r="G37" s="117"/>
      <c r="H37" s="117"/>
      <c r="I37" s="117"/>
      <c r="J37" s="118"/>
    </row>
    <row r="38" spans="2:10" ht="16" thickBot="1" x14ac:dyDescent="0.4">
      <c r="B38" s="112"/>
      <c r="C38" s="113"/>
      <c r="D38" s="114"/>
      <c r="E38" s="119"/>
      <c r="F38" s="116"/>
      <c r="G38" s="117"/>
      <c r="H38" s="117"/>
      <c r="I38" s="117"/>
      <c r="J38" s="118"/>
    </row>
    <row r="39" spans="2:10" ht="16" thickBot="1" x14ac:dyDescent="0.4">
      <c r="B39" s="120"/>
      <c r="C39" s="121"/>
      <c r="D39" s="122">
        <f>SUM(D3:D38)</f>
        <v>14315700</v>
      </c>
      <c r="E39" s="123"/>
      <c r="F39" s="124"/>
      <c r="G39" s="125">
        <f>SUM(G3:G38)</f>
        <v>930520.5</v>
      </c>
      <c r="H39" s="125">
        <f>SUM(H3:H38)</f>
        <v>13385179.5</v>
      </c>
      <c r="I39" s="126">
        <f>SUM(I3:I38)</f>
        <v>13242022.5</v>
      </c>
      <c r="J39" s="127">
        <f>SUM(J3:J38)</f>
        <v>143157</v>
      </c>
    </row>
    <row r="40" spans="2:10" ht="15" thickBot="1" x14ac:dyDescent="0.4">
      <c r="B40" s="6"/>
      <c r="D40" s="6"/>
      <c r="E40" s="6"/>
      <c r="F40" s="6"/>
      <c r="G40" s="128"/>
      <c r="H40" s="128"/>
      <c r="I40" s="129" t="s">
        <v>134</v>
      </c>
      <c r="J40" s="130">
        <f>+J39/2</f>
        <v>71578.5</v>
      </c>
    </row>
    <row r="41" spans="2:10" ht="15" thickBot="1" x14ac:dyDescent="0.4">
      <c r="B41" s="6"/>
      <c r="D41" s="6"/>
      <c r="E41" s="6"/>
      <c r="F41" s="6"/>
      <c r="G41" s="128"/>
      <c r="H41" s="128"/>
      <c r="I41" s="88" t="s">
        <v>135</v>
      </c>
      <c r="J41" s="131">
        <f>+J39/2</f>
        <v>71578.5</v>
      </c>
    </row>
    <row r="42" spans="2:10" x14ac:dyDescent="0.35">
      <c r="B42" s="6"/>
      <c r="D42" s="6"/>
      <c r="E42" s="6"/>
      <c r="F42" s="6"/>
      <c r="G42" s="128"/>
      <c r="H42" s="128"/>
      <c r="I42" s="6"/>
      <c r="J42" s="6"/>
    </row>
    <row r="43" spans="2:10" x14ac:dyDescent="0.35">
      <c r="B43" s="6"/>
      <c r="D43" s="6"/>
      <c r="E43" s="6"/>
      <c r="F43" s="6"/>
      <c r="G43" s="128"/>
      <c r="H43" s="128"/>
      <c r="I43" s="6"/>
      <c r="J43" s="6"/>
    </row>
    <row r="44" spans="2:10" x14ac:dyDescent="0.35">
      <c r="B44" s="6"/>
      <c r="D44" s="6"/>
      <c r="E44" s="6"/>
      <c r="F44" s="6"/>
      <c r="G44" s="128"/>
      <c r="H44" s="128"/>
      <c r="I44" s="6"/>
      <c r="J44" s="6"/>
    </row>
    <row r="45" spans="2:10" x14ac:dyDescent="0.35">
      <c r="B45" s="6"/>
      <c r="D45" s="6"/>
      <c r="E45" s="6"/>
      <c r="F45" s="6"/>
      <c r="G45" s="128"/>
      <c r="H45" s="128"/>
      <c r="I45" s="6"/>
      <c r="J45" s="6"/>
    </row>
    <row r="46" spans="2:10" x14ac:dyDescent="0.35">
      <c r="B46" s="6"/>
      <c r="D46" s="6"/>
      <c r="E46" s="6"/>
      <c r="F46" s="6"/>
      <c r="G46" s="128"/>
      <c r="H46" s="128"/>
      <c r="I46" s="6"/>
      <c r="J46" s="6"/>
    </row>
    <row r="47" spans="2:10" x14ac:dyDescent="0.35">
      <c r="B47" s="6"/>
      <c r="D47" s="6"/>
      <c r="E47" s="6"/>
      <c r="F47" s="6"/>
      <c r="G47" s="128"/>
      <c r="H47" s="128"/>
      <c r="I47" s="6"/>
      <c r="J47" s="6"/>
    </row>
    <row r="48" spans="2:10" x14ac:dyDescent="0.35">
      <c r="B48" s="6"/>
      <c r="D48" s="6"/>
      <c r="E48" s="6"/>
      <c r="F48" s="6"/>
      <c r="G48" s="128"/>
      <c r="H48" s="128"/>
      <c r="I48" s="6"/>
      <c r="J48" s="6"/>
    </row>
    <row r="49" spans="2:10" x14ac:dyDescent="0.35">
      <c r="B49" s="6"/>
      <c r="D49" s="6"/>
      <c r="E49" s="6"/>
      <c r="F49" s="6"/>
      <c r="G49" s="128"/>
      <c r="H49" s="128"/>
      <c r="I49" s="6"/>
      <c r="J49" s="6"/>
    </row>
    <row r="50" spans="2:10" x14ac:dyDescent="0.35">
      <c r="B50" s="6"/>
      <c r="D50" s="6"/>
      <c r="E50" s="6"/>
      <c r="F50" s="6"/>
      <c r="G50" s="128"/>
      <c r="H50" s="128"/>
      <c r="I50" s="6"/>
      <c r="J50" s="6"/>
    </row>
    <row r="51" spans="2:10" x14ac:dyDescent="0.35">
      <c r="B51" s="6"/>
      <c r="D51" s="6"/>
      <c r="E51" s="6"/>
      <c r="F51" s="6"/>
      <c r="G51" s="128"/>
      <c r="H51" s="128"/>
      <c r="I51" s="6"/>
      <c r="J51" s="6"/>
    </row>
    <row r="52" spans="2:10" x14ac:dyDescent="0.35">
      <c r="B52" s="6"/>
      <c r="D52" s="6"/>
      <c r="E52" s="6"/>
      <c r="F52" s="6"/>
      <c r="G52" s="128"/>
      <c r="H52" s="128"/>
      <c r="I52" s="6"/>
      <c r="J52" s="6"/>
    </row>
    <row r="53" spans="2:10" x14ac:dyDescent="0.35">
      <c r="B53" s="6"/>
      <c r="D53" s="6"/>
      <c r="E53" s="6"/>
      <c r="F53" s="6"/>
      <c r="G53" s="128"/>
      <c r="H53" s="128"/>
      <c r="I53" s="6"/>
      <c r="J53" s="6"/>
    </row>
    <row r="54" spans="2:10" ht="15" thickBot="1" x14ac:dyDescent="0.4">
      <c r="B54" s="6"/>
      <c r="D54" s="6"/>
      <c r="E54" s="6"/>
      <c r="F54" s="6"/>
      <c r="G54" s="128"/>
      <c r="H54" s="128"/>
      <c r="I54" s="6"/>
      <c r="J54" s="6"/>
    </row>
    <row r="55" spans="2:10" ht="15" thickBot="1" x14ac:dyDescent="0.4">
      <c r="B55" s="12" t="s">
        <v>0</v>
      </c>
      <c r="C55" s="3" t="s">
        <v>24</v>
      </c>
      <c r="D55" s="13" t="s">
        <v>5</v>
      </c>
      <c r="E55" s="13" t="s">
        <v>136</v>
      </c>
      <c r="F55" s="13" t="s">
        <v>124</v>
      </c>
      <c r="G55" s="132" t="s">
        <v>137</v>
      </c>
      <c r="H55" s="133"/>
      <c r="I55" s="57"/>
      <c r="J55" s="57"/>
    </row>
    <row r="56" spans="2:10" x14ac:dyDescent="0.35">
      <c r="B56" s="134" t="s">
        <v>200</v>
      </c>
      <c r="C56" s="135" t="s">
        <v>131</v>
      </c>
      <c r="D56" s="136">
        <v>990000</v>
      </c>
      <c r="E56" s="137">
        <v>5.5E-2</v>
      </c>
      <c r="F56" s="136">
        <f t="shared" ref="F56:F59" si="4">+D56*E56</f>
        <v>54450</v>
      </c>
      <c r="G56" s="206">
        <f t="shared" ref="G56:G59" si="5">D56-F56</f>
        <v>935550</v>
      </c>
      <c r="H56" s="128"/>
      <c r="I56" s="6"/>
      <c r="J56" s="6"/>
    </row>
    <row r="57" spans="2:10" x14ac:dyDescent="0.35">
      <c r="B57" s="139" t="s">
        <v>200</v>
      </c>
      <c r="C57" s="140" t="s">
        <v>129</v>
      </c>
      <c r="D57" s="141">
        <v>995000</v>
      </c>
      <c r="E57" s="137">
        <v>5.5E-2</v>
      </c>
      <c r="F57" s="136">
        <f t="shared" si="4"/>
        <v>54725</v>
      </c>
      <c r="G57" s="206">
        <f t="shared" si="5"/>
        <v>940275</v>
      </c>
      <c r="H57" s="128"/>
      <c r="I57" s="6"/>
      <c r="J57" s="6"/>
    </row>
    <row r="58" spans="2:10" x14ac:dyDescent="0.35">
      <c r="B58" s="139" t="s">
        <v>201</v>
      </c>
      <c r="C58" s="140" t="s">
        <v>131</v>
      </c>
      <c r="D58" s="141">
        <v>760000</v>
      </c>
      <c r="E58" s="137">
        <v>5.5E-2</v>
      </c>
      <c r="F58" s="136">
        <f t="shared" si="4"/>
        <v>41800</v>
      </c>
      <c r="G58" s="206">
        <f t="shared" si="5"/>
        <v>718200</v>
      </c>
      <c r="H58" s="128"/>
      <c r="I58" s="6"/>
      <c r="J58" s="6"/>
    </row>
    <row r="59" spans="2:10" x14ac:dyDescent="0.35">
      <c r="B59" s="139" t="s">
        <v>201</v>
      </c>
      <c r="C59" s="140" t="s">
        <v>129</v>
      </c>
      <c r="D59" s="141">
        <v>780000</v>
      </c>
      <c r="E59" s="137">
        <v>5.5E-2</v>
      </c>
      <c r="F59" s="136">
        <f t="shared" si="4"/>
        <v>42900</v>
      </c>
      <c r="G59" s="206">
        <f t="shared" si="5"/>
        <v>737100</v>
      </c>
      <c r="H59" s="128"/>
      <c r="I59" s="6"/>
      <c r="J59" s="6"/>
    </row>
    <row r="60" spans="2:10" x14ac:dyDescent="0.35">
      <c r="B60" s="139" t="s">
        <v>204</v>
      </c>
      <c r="C60" s="140" t="s">
        <v>205</v>
      </c>
      <c r="D60" s="141">
        <v>993000</v>
      </c>
      <c r="E60" s="137">
        <v>5.5E-2</v>
      </c>
      <c r="F60" s="136">
        <f t="shared" ref="F60:F61" si="6">+D60*E60</f>
        <v>54615</v>
      </c>
      <c r="G60" s="206">
        <f t="shared" ref="G60:G61" si="7">D60-F60</f>
        <v>938385</v>
      </c>
      <c r="H60" s="128"/>
      <c r="I60" s="6"/>
      <c r="J60" s="6"/>
    </row>
    <row r="61" spans="2:10" x14ac:dyDescent="0.35">
      <c r="B61" s="139" t="s">
        <v>206</v>
      </c>
      <c r="C61" s="140" t="s">
        <v>205</v>
      </c>
      <c r="D61" s="141">
        <v>500000</v>
      </c>
      <c r="E61" s="137">
        <v>5.5E-2</v>
      </c>
      <c r="F61" s="136">
        <f t="shared" si="6"/>
        <v>27500</v>
      </c>
      <c r="G61" s="206">
        <f t="shared" si="7"/>
        <v>472500</v>
      </c>
      <c r="H61" s="128"/>
      <c r="I61" s="6"/>
      <c r="J61" s="6"/>
    </row>
    <row r="62" spans="2:10" x14ac:dyDescent="0.35">
      <c r="B62" s="139" t="s">
        <v>200</v>
      </c>
      <c r="C62" s="140" t="s">
        <v>209</v>
      </c>
      <c r="D62" s="141">
        <v>980000</v>
      </c>
      <c r="E62" s="137">
        <v>0.06</v>
      </c>
      <c r="F62" s="136">
        <f>+D62*E62</f>
        <v>58800</v>
      </c>
      <c r="G62" s="138">
        <f>D62-F62</f>
        <v>921200</v>
      </c>
      <c r="H62" s="128"/>
      <c r="I62" s="6"/>
      <c r="J62" s="6"/>
    </row>
    <row r="63" spans="2:10" x14ac:dyDescent="0.35">
      <c r="B63" s="139" t="s">
        <v>197</v>
      </c>
      <c r="C63" s="140" t="s">
        <v>209</v>
      </c>
      <c r="D63" s="141">
        <v>895000</v>
      </c>
      <c r="E63" s="137">
        <v>0.06</v>
      </c>
      <c r="F63" s="136">
        <f>+D63*E63</f>
        <v>53700</v>
      </c>
      <c r="G63" s="138">
        <f>D63-F63</f>
        <v>841300</v>
      </c>
      <c r="H63" s="128"/>
      <c r="I63" s="6"/>
      <c r="J63" s="6"/>
    </row>
    <row r="64" spans="2:10" x14ac:dyDescent="0.35">
      <c r="B64" s="139"/>
      <c r="C64" s="140"/>
      <c r="D64" s="141"/>
      <c r="E64" s="137"/>
      <c r="F64" s="136">
        <f t="shared" ref="F64" si="8">+D64*E64</f>
        <v>0</v>
      </c>
      <c r="G64" s="206">
        <f t="shared" ref="G64" si="9">D64-F64</f>
        <v>0</v>
      </c>
      <c r="H64" s="128"/>
      <c r="I64" s="6"/>
      <c r="J64" s="6"/>
    </row>
    <row r="65" spans="2:10" ht="15" thickBot="1" x14ac:dyDescent="0.4">
      <c r="B65" s="139"/>
      <c r="C65" s="140"/>
      <c r="D65" s="141"/>
      <c r="E65" s="181"/>
      <c r="F65" s="141"/>
      <c r="G65" s="147"/>
      <c r="H65" s="128"/>
      <c r="I65" s="6"/>
      <c r="J65" s="6"/>
    </row>
    <row r="66" spans="2:10" ht="15" thickBot="1" x14ac:dyDescent="0.4">
      <c r="B66" s="182"/>
      <c r="C66" s="183"/>
      <c r="D66" s="184">
        <f>SUM(D56:D65)</f>
        <v>6893000</v>
      </c>
      <c r="E66" s="184"/>
      <c r="F66" s="184">
        <f>SUM(F56:F65)</f>
        <v>388490</v>
      </c>
      <c r="G66" s="185">
        <f>SUM(G56:G65)</f>
        <v>6504510</v>
      </c>
      <c r="H66" s="128"/>
      <c r="I66" s="6"/>
      <c r="J66" s="6"/>
    </row>
    <row r="67" spans="2:10" x14ac:dyDescent="0.35">
      <c r="B67" s="142"/>
      <c r="C67" s="143" t="s">
        <v>138</v>
      </c>
      <c r="D67" s="144">
        <f>+F66</f>
        <v>388490</v>
      </c>
      <c r="E67" s="144"/>
      <c r="F67" s="144"/>
      <c r="G67" s="145"/>
      <c r="H67" s="128"/>
      <c r="I67" s="6"/>
      <c r="J67" s="6"/>
    </row>
    <row r="68" spans="2:10" x14ac:dyDescent="0.35">
      <c r="B68" s="146"/>
      <c r="C68" s="140" t="s">
        <v>202</v>
      </c>
      <c r="D68" s="141">
        <v>1100000</v>
      </c>
      <c r="E68" s="136"/>
      <c r="F68" s="136"/>
      <c r="G68" s="138"/>
      <c r="H68" s="128"/>
      <c r="I68" s="6"/>
      <c r="J68" s="6"/>
    </row>
    <row r="69" spans="2:10" x14ac:dyDescent="0.35">
      <c r="B69" s="139"/>
      <c r="C69" s="140" t="s">
        <v>203</v>
      </c>
      <c r="D69" s="141">
        <v>1100000</v>
      </c>
      <c r="E69" s="141"/>
      <c r="F69" s="141"/>
      <c r="G69" s="147"/>
      <c r="H69" s="128"/>
      <c r="I69" s="6"/>
      <c r="J69" s="6"/>
    </row>
    <row r="70" spans="2:10" x14ac:dyDescent="0.35">
      <c r="B70" s="139"/>
      <c r="C70" s="140" t="s">
        <v>207</v>
      </c>
      <c r="D70" s="141">
        <v>500000</v>
      </c>
      <c r="E70" s="141"/>
      <c r="F70" s="141"/>
      <c r="G70" s="147"/>
      <c r="H70" s="128"/>
      <c r="I70" s="6"/>
      <c r="J70" s="6"/>
    </row>
    <row r="71" spans="2:10" x14ac:dyDescent="0.35">
      <c r="B71" s="139"/>
      <c r="C71" s="140" t="s">
        <v>208</v>
      </c>
      <c r="D71" s="141">
        <v>1200000</v>
      </c>
      <c r="E71" s="141"/>
      <c r="F71" s="141"/>
      <c r="G71" s="147"/>
      <c r="H71" s="128"/>
      <c r="I71" s="6"/>
      <c r="J71" s="6"/>
    </row>
    <row r="72" spans="2:10" x14ac:dyDescent="0.35">
      <c r="B72" s="139"/>
      <c r="C72" s="140" t="s">
        <v>211</v>
      </c>
      <c r="D72" s="141">
        <v>842000</v>
      </c>
      <c r="E72" s="141"/>
      <c r="F72" s="141"/>
      <c r="G72" s="147"/>
      <c r="H72" s="128"/>
      <c r="I72" s="6"/>
      <c r="J72" s="6"/>
    </row>
    <row r="73" spans="2:10" x14ac:dyDescent="0.35">
      <c r="B73" s="139"/>
      <c r="C73" s="140"/>
      <c r="D73" s="141"/>
      <c r="E73" s="141"/>
      <c r="F73" s="141"/>
      <c r="G73" s="147"/>
      <c r="H73" s="128"/>
      <c r="I73" s="6"/>
      <c r="J73" s="6"/>
    </row>
    <row r="74" spans="2:10" ht="15" thickBot="1" x14ac:dyDescent="0.4">
      <c r="B74" s="139"/>
      <c r="C74" s="140"/>
      <c r="D74" s="141"/>
      <c r="E74" s="141"/>
      <c r="F74" s="141"/>
      <c r="G74" s="147"/>
      <c r="H74" s="128"/>
      <c r="I74" s="6"/>
      <c r="J74" s="6"/>
    </row>
    <row r="75" spans="2:10" ht="15" thickBot="1" x14ac:dyDescent="0.4">
      <c r="B75" s="148"/>
      <c r="C75" s="149" t="s">
        <v>111</v>
      </c>
      <c r="D75" s="150">
        <f>+D66-(SUM(D67:D74))</f>
        <v>1762510</v>
      </c>
      <c r="E75" s="151"/>
      <c r="F75" s="151"/>
      <c r="G75" s="152"/>
      <c r="H75" s="128"/>
      <c r="I75" s="6"/>
      <c r="J75" s="6"/>
    </row>
    <row r="76" spans="2:10" x14ac:dyDescent="0.35">
      <c r="B76" s="6"/>
      <c r="D76" s="6"/>
      <c r="E76" s="6"/>
      <c r="F76" s="6"/>
      <c r="G76" s="128"/>
      <c r="H76" s="128"/>
      <c r="I76" s="6"/>
      <c r="J76" s="6"/>
    </row>
    <row r="77" spans="2:10" ht="15" thickBot="1" x14ac:dyDescent="0.4">
      <c r="B77" s="6"/>
      <c r="D77" s="6"/>
      <c r="E77" s="6"/>
      <c r="F77" s="6"/>
      <c r="G77" s="128"/>
      <c r="H77" s="128"/>
      <c r="I77" s="6"/>
      <c r="J77" s="6"/>
    </row>
    <row r="78" spans="2:10" ht="15" thickBot="1" x14ac:dyDescent="0.4">
      <c r="B78" s="12" t="s">
        <v>0</v>
      </c>
      <c r="C78" s="3" t="s">
        <v>24</v>
      </c>
      <c r="D78" s="13" t="s">
        <v>5</v>
      </c>
      <c r="E78" s="13" t="s">
        <v>136</v>
      </c>
      <c r="F78" s="13" t="s">
        <v>124</v>
      </c>
      <c r="G78" s="132" t="s">
        <v>137</v>
      </c>
      <c r="H78" s="128"/>
      <c r="I78" s="6"/>
      <c r="J78" s="6"/>
    </row>
    <row r="79" spans="2:10" x14ac:dyDescent="0.35">
      <c r="B79" s="134" t="s">
        <v>200</v>
      </c>
      <c r="C79" s="135" t="s">
        <v>131</v>
      </c>
      <c r="D79" s="136">
        <v>990000</v>
      </c>
      <c r="E79" s="137">
        <v>0.06</v>
      </c>
      <c r="F79" s="136">
        <f t="shared" ref="F79:F86" si="10">+D79*E79</f>
        <v>59400</v>
      </c>
      <c r="G79" s="138">
        <f t="shared" ref="G79:G86" si="11">D79-F79</f>
        <v>930600</v>
      </c>
      <c r="H79" s="128"/>
      <c r="I79" s="6"/>
      <c r="J79" s="6"/>
    </row>
    <row r="80" spans="2:10" x14ac:dyDescent="0.35">
      <c r="B80" s="139" t="s">
        <v>200</v>
      </c>
      <c r="C80" s="140" t="s">
        <v>129</v>
      </c>
      <c r="D80" s="141">
        <v>995000</v>
      </c>
      <c r="E80" s="137">
        <v>0.06</v>
      </c>
      <c r="F80" s="136">
        <f t="shared" si="10"/>
        <v>59700</v>
      </c>
      <c r="G80" s="138">
        <f t="shared" si="11"/>
        <v>935300</v>
      </c>
      <c r="H80" s="128"/>
      <c r="I80" s="6"/>
      <c r="J80" s="6"/>
    </row>
    <row r="81" spans="2:9" x14ac:dyDescent="0.35">
      <c r="B81" s="139" t="s">
        <v>200</v>
      </c>
      <c r="C81" s="140" t="s">
        <v>209</v>
      </c>
      <c r="D81" s="141">
        <v>980000</v>
      </c>
      <c r="E81" s="137">
        <v>6.5000000000000002E-2</v>
      </c>
      <c r="F81" s="136">
        <f>+D81*E81</f>
        <v>63700</v>
      </c>
      <c r="G81" s="138">
        <f>D81-F81</f>
        <v>916300</v>
      </c>
    </row>
    <row r="82" spans="2:9" x14ac:dyDescent="0.35">
      <c r="B82" s="139" t="s">
        <v>201</v>
      </c>
      <c r="C82" s="140" t="s">
        <v>131</v>
      </c>
      <c r="D82" s="141">
        <v>760000</v>
      </c>
      <c r="E82" s="137">
        <v>0.06</v>
      </c>
      <c r="F82" s="136">
        <f t="shared" si="10"/>
        <v>45600</v>
      </c>
      <c r="G82" s="138">
        <f t="shared" si="11"/>
        <v>714400</v>
      </c>
    </row>
    <row r="83" spans="2:9" x14ac:dyDescent="0.35">
      <c r="B83" s="139" t="s">
        <v>201</v>
      </c>
      <c r="C83" s="140" t="s">
        <v>129</v>
      </c>
      <c r="D83" s="141">
        <v>780000</v>
      </c>
      <c r="E83" s="137">
        <v>0.06</v>
      </c>
      <c r="F83" s="136">
        <f t="shared" si="10"/>
        <v>46800</v>
      </c>
      <c r="G83" s="138">
        <f t="shared" si="11"/>
        <v>733200</v>
      </c>
    </row>
    <row r="84" spans="2:9" x14ac:dyDescent="0.35">
      <c r="B84" s="139" t="s">
        <v>197</v>
      </c>
      <c r="C84" s="140" t="s">
        <v>209</v>
      </c>
      <c r="D84" s="141">
        <v>895000</v>
      </c>
      <c r="E84" s="137">
        <v>6.5000000000000002E-2</v>
      </c>
      <c r="F84" s="136">
        <f>+D84*E84</f>
        <v>58175</v>
      </c>
      <c r="G84" s="138">
        <f>D84-F84</f>
        <v>836825</v>
      </c>
    </row>
    <row r="85" spans="2:9" x14ac:dyDescent="0.35">
      <c r="B85" s="139" t="s">
        <v>204</v>
      </c>
      <c r="C85" s="140" t="s">
        <v>205</v>
      </c>
      <c r="D85" s="141">
        <v>993000</v>
      </c>
      <c r="E85" s="137">
        <v>6.5000000000000002E-2</v>
      </c>
      <c r="F85" s="136">
        <f t="shared" si="10"/>
        <v>64545</v>
      </c>
      <c r="G85" s="138">
        <f t="shared" si="11"/>
        <v>928455</v>
      </c>
    </row>
    <row r="86" spans="2:9" x14ac:dyDescent="0.35">
      <c r="B86" s="139" t="s">
        <v>206</v>
      </c>
      <c r="C86" s="140" t="s">
        <v>205</v>
      </c>
      <c r="D86" s="141">
        <v>500000</v>
      </c>
      <c r="E86" s="137">
        <v>6.5000000000000002E-2</v>
      </c>
      <c r="F86" s="136">
        <f t="shared" si="10"/>
        <v>32500</v>
      </c>
      <c r="G86" s="138">
        <f t="shared" si="11"/>
        <v>467500</v>
      </c>
    </row>
    <row r="87" spans="2:9" x14ac:dyDescent="0.35">
      <c r="B87" s="139"/>
      <c r="C87" s="140"/>
      <c r="D87" s="141"/>
      <c r="E87" s="137"/>
      <c r="F87" s="136"/>
      <c r="G87" s="138"/>
    </row>
    <row r="88" spans="2:9" ht="15" thickBot="1" x14ac:dyDescent="0.4">
      <c r="B88" s="139"/>
      <c r="C88" s="140"/>
      <c r="D88" s="141"/>
      <c r="E88" s="181"/>
      <c r="F88" s="141"/>
      <c r="G88" s="147"/>
    </row>
    <row r="89" spans="2:9" ht="15" thickBot="1" x14ac:dyDescent="0.4">
      <c r="B89" s="182"/>
      <c r="C89" s="183"/>
      <c r="D89" s="184">
        <f>SUM(D79:D88)</f>
        <v>6893000</v>
      </c>
      <c r="E89" s="184"/>
      <c r="F89" s="184">
        <f>SUM(F79:F88)</f>
        <v>430420</v>
      </c>
      <c r="G89" s="185">
        <f>SUM(G79:G88)</f>
        <v>6462580</v>
      </c>
      <c r="I89" s="207">
        <f>G66-G89</f>
        <v>41930</v>
      </c>
    </row>
    <row r="90" spans="2:9" x14ac:dyDescent="0.35">
      <c r="B90" s="142"/>
      <c r="C90" s="143" t="s">
        <v>138</v>
      </c>
      <c r="D90" s="144">
        <f>+F89</f>
        <v>430420</v>
      </c>
      <c r="E90" s="144"/>
      <c r="F90" s="144"/>
      <c r="G90" s="145"/>
    </row>
    <row r="91" spans="2:9" x14ac:dyDescent="0.35">
      <c r="B91" s="146"/>
      <c r="C91" s="140" t="s">
        <v>210</v>
      </c>
      <c r="D91" s="141">
        <v>4000000</v>
      </c>
      <c r="E91" s="136"/>
      <c r="F91" s="136"/>
      <c r="G91" s="138"/>
    </row>
    <row r="92" spans="2:9" ht="15" thickBot="1" x14ac:dyDescent="0.4">
      <c r="B92" s="139"/>
      <c r="C92" s="140"/>
      <c r="D92" s="141"/>
      <c r="E92" s="141"/>
      <c r="F92" s="141"/>
      <c r="G92" s="147"/>
    </row>
    <row r="93" spans="2:9" ht="15" thickBot="1" x14ac:dyDescent="0.4">
      <c r="B93" s="148"/>
      <c r="C93" s="149" t="s">
        <v>111</v>
      </c>
      <c r="D93" s="150">
        <f>+D89-(SUM(D90:D92))</f>
        <v>2462580</v>
      </c>
      <c r="E93" s="151"/>
      <c r="F93" s="151"/>
      <c r="G93" s="1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TRF</vt:lpstr>
      <vt:lpstr>Sheet1</vt:lpstr>
      <vt:lpstr>Triveni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2026-05-06T11:42:05Z</dcterms:modified>
</cp:coreProperties>
</file>