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504F025-05B8-4E85-A394-286B5B79195A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PKG-2" sheetId="2" r:id="rId1"/>
    <sheet name="PKG-3" sheetId="3" r:id="rId2"/>
    <sheet name="PKG-5" sheetId="1" r:id="rId3"/>
    <sheet name="LT - A &amp; B" sheetId="9" r:id="rId4"/>
    <sheet name="VK J" sheetId="8" r:id="rId5"/>
    <sheet name="PD" sheetId="4" r:id="rId6"/>
    <sheet name="BK GM" sheetId="5" r:id="rId7"/>
    <sheet name="VK Singh" sheetId="7" r:id="rId8"/>
    <sheet name="Chetram Meena" sheetId="6" r:id="rId9"/>
  </sheets>
  <definedNames>
    <definedName name="_xlnm._FilterDatabase" localSheetId="2" hidden="1">'PKG-5'!$A$2:$L$89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1" l="1"/>
  <c r="C24" i="9"/>
  <c r="D19" i="9"/>
  <c r="D20" i="9" s="1"/>
  <c r="F18" i="9"/>
  <c r="D17" i="9"/>
  <c r="F17" i="9" s="1"/>
  <c r="C10" i="9"/>
  <c r="D21" i="9" l="1"/>
  <c r="F21" i="9" s="1"/>
  <c r="F20" i="9"/>
  <c r="F19" i="9"/>
  <c r="D3" i="9" l="1"/>
  <c r="F3" i="9" s="1"/>
  <c r="I66" i="3" l="1"/>
  <c r="I67" i="3"/>
  <c r="I68" i="3"/>
  <c r="I69" i="3"/>
  <c r="I63" i="3"/>
  <c r="I61" i="3"/>
  <c r="F72" i="3"/>
  <c r="I71" i="3"/>
  <c r="I70" i="3"/>
  <c r="I65" i="3"/>
  <c r="I64" i="3"/>
  <c r="I62" i="3"/>
  <c r="I60" i="3"/>
  <c r="F4" i="9" l="1"/>
  <c r="D5" i="9"/>
  <c r="D3" i="3"/>
  <c r="D4" i="2"/>
  <c r="F4" i="2" s="1"/>
  <c r="I42" i="2"/>
  <c r="F5" i="9" l="1"/>
  <c r="D6" i="9"/>
  <c r="D5" i="2"/>
  <c r="D4" i="3"/>
  <c r="F3" i="3"/>
  <c r="E74" i="1"/>
  <c r="C74" i="1"/>
  <c r="C4" i="8" s="1"/>
  <c r="C89" i="1"/>
  <c r="C64" i="4" s="1"/>
  <c r="D7" i="9" l="1"/>
  <c r="F7" i="9"/>
  <c r="F6" i="9"/>
  <c r="D5" i="3"/>
  <c r="F4" i="3"/>
  <c r="F5" i="2"/>
  <c r="D6" i="2"/>
  <c r="D3" i="1"/>
  <c r="F3" i="1" s="1"/>
  <c r="F6" i="2" l="1"/>
  <c r="D7" i="2"/>
  <c r="D6" i="3"/>
  <c r="F5" i="3"/>
  <c r="D4" i="1"/>
  <c r="M44" i="5"/>
  <c r="M43" i="5"/>
  <c r="M42" i="5"/>
  <c r="M41" i="5"/>
  <c r="M40" i="5"/>
  <c r="M39" i="5"/>
  <c r="L46" i="5"/>
  <c r="L36" i="5"/>
  <c r="M34" i="5"/>
  <c r="M33" i="5"/>
  <c r="M32" i="5"/>
  <c r="M31" i="5"/>
  <c r="M30" i="5"/>
  <c r="M29" i="5"/>
  <c r="H23" i="5"/>
  <c r="N14" i="5"/>
  <c r="P14" i="5" s="1"/>
  <c r="N13" i="5"/>
  <c r="P13" i="5" s="1"/>
  <c r="P21" i="5"/>
  <c r="P19" i="5"/>
  <c r="P18" i="5"/>
  <c r="P17" i="5"/>
  <c r="P16" i="5"/>
  <c r="N15" i="5"/>
  <c r="P15" i="5" s="1"/>
  <c r="D7" i="3" l="1"/>
  <c r="F6" i="3"/>
  <c r="F7" i="2"/>
  <c r="D8" i="2"/>
  <c r="D5" i="1"/>
  <c r="F4" i="1"/>
  <c r="M46" i="5"/>
  <c r="M36" i="5"/>
  <c r="O30" i="5"/>
  <c r="D8" i="3" l="1"/>
  <c r="F7" i="3"/>
  <c r="F8" i="2"/>
  <c r="D9" i="2"/>
  <c r="D6" i="1"/>
  <c r="F5" i="1"/>
  <c r="I59" i="3"/>
  <c r="I58" i="3"/>
  <c r="I57" i="3"/>
  <c r="I56" i="3"/>
  <c r="I55" i="3"/>
  <c r="I54" i="3"/>
  <c r="I53" i="3"/>
  <c r="I52" i="3"/>
  <c r="I51" i="3"/>
  <c r="F9" i="2" l="1"/>
  <c r="D10" i="2"/>
  <c r="D9" i="3"/>
  <c r="F8" i="3"/>
  <c r="F6" i="1"/>
  <c r="D7" i="1"/>
  <c r="C66" i="5"/>
  <c r="G66" i="5"/>
  <c r="D10" i="3" l="1"/>
  <c r="F9" i="3"/>
  <c r="F10" i="2"/>
  <c r="D11" i="2"/>
  <c r="F7" i="1"/>
  <c r="D8" i="1"/>
  <c r="D9" i="1" s="1"/>
  <c r="D10" i="1" s="1"/>
  <c r="D11" i="1" s="1"/>
  <c r="C24" i="7"/>
  <c r="G24" i="7" s="1"/>
  <c r="G27" i="7" s="1"/>
  <c r="G22" i="7"/>
  <c r="G50" i="3"/>
  <c r="I50" i="3" s="1"/>
  <c r="J65" i="2"/>
  <c r="C76" i="2"/>
  <c r="C26" i="6"/>
  <c r="C10" i="6"/>
  <c r="H24" i="5"/>
  <c r="D21" i="5" s="1"/>
  <c r="D17" i="5"/>
  <c r="D18" i="5" s="1"/>
  <c r="D20" i="5" s="1"/>
  <c r="G44" i="5"/>
  <c r="C44" i="5"/>
  <c r="G49" i="3"/>
  <c r="I49" i="3" s="1"/>
  <c r="G48" i="3"/>
  <c r="I48" i="3" s="1"/>
  <c r="G47" i="3"/>
  <c r="I47" i="3" s="1"/>
  <c r="G46" i="3"/>
  <c r="I46" i="3" s="1"/>
  <c r="G45" i="3"/>
  <c r="I45" i="3" s="1"/>
  <c r="G44" i="3"/>
  <c r="I44" i="3" s="1"/>
  <c r="G43" i="3"/>
  <c r="I43" i="3" s="1"/>
  <c r="G42" i="3"/>
  <c r="I42" i="3" s="1"/>
  <c r="G41" i="3"/>
  <c r="I41" i="3" s="1"/>
  <c r="I40" i="3"/>
  <c r="I41" i="2"/>
  <c r="I39" i="3"/>
  <c r="C104" i="2"/>
  <c r="D12" i="1" l="1"/>
  <c r="F11" i="1"/>
  <c r="D12" i="2"/>
  <c r="F11" i="2"/>
  <c r="D11" i="3"/>
  <c r="F10" i="3"/>
  <c r="F8" i="1"/>
  <c r="C28" i="6"/>
  <c r="C31" i="6" s="1"/>
  <c r="D23" i="5"/>
  <c r="G46" i="5"/>
  <c r="D24" i="5" s="1"/>
  <c r="I38" i="3"/>
  <c r="I37" i="3"/>
  <c r="I40" i="2"/>
  <c r="D12" i="3" l="1"/>
  <c r="F11" i="3"/>
  <c r="D13" i="2"/>
  <c r="F12" i="2"/>
  <c r="D13" i="1"/>
  <c r="F12" i="1"/>
  <c r="F9" i="1"/>
  <c r="D25" i="5"/>
  <c r="I28" i="2"/>
  <c r="H77" i="3"/>
  <c r="G77" i="3"/>
  <c r="C77" i="3"/>
  <c r="H45" i="2"/>
  <c r="G45" i="2"/>
  <c r="C45" i="2"/>
  <c r="I36" i="3"/>
  <c r="I39" i="2"/>
  <c r="I38" i="2"/>
  <c r="I37" i="2"/>
  <c r="I36" i="2"/>
  <c r="I33" i="3"/>
  <c r="I32" i="3"/>
  <c r="I31" i="3"/>
  <c r="I35" i="2"/>
  <c r="D14" i="1" l="1"/>
  <c r="F13" i="1"/>
  <c r="C64" i="2"/>
  <c r="C6" i="8"/>
  <c r="C63" i="4"/>
  <c r="C57" i="2"/>
  <c r="C5" i="8"/>
  <c r="C11" i="8" s="1"/>
  <c r="C62" i="4"/>
  <c r="C67" i="4" s="1"/>
  <c r="C68" i="4" s="1"/>
  <c r="D14" i="2"/>
  <c r="F13" i="2"/>
  <c r="F12" i="3"/>
  <c r="D13" i="3"/>
  <c r="F10" i="1"/>
  <c r="I35" i="3"/>
  <c r="I34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H79" i="3"/>
  <c r="G79" i="3"/>
  <c r="J57" i="2"/>
  <c r="M57" i="2" s="1"/>
  <c r="I4" i="3"/>
  <c r="I3" i="3"/>
  <c r="I5" i="2"/>
  <c r="I6" i="2"/>
  <c r="I7" i="2"/>
  <c r="I9" i="2"/>
  <c r="I10" i="2"/>
  <c r="I8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9" i="2"/>
  <c r="I30" i="2"/>
  <c r="I31" i="2"/>
  <c r="I32" i="2"/>
  <c r="I33" i="2"/>
  <c r="I34" i="2"/>
  <c r="H47" i="2"/>
  <c r="G47" i="2"/>
  <c r="I4" i="2"/>
  <c r="D15" i="2" l="1"/>
  <c r="F14" i="2"/>
  <c r="F13" i="3"/>
  <c r="D14" i="3"/>
  <c r="D15" i="1"/>
  <c r="F14" i="1"/>
  <c r="I45" i="2"/>
  <c r="I77" i="3"/>
  <c r="C65" i="2"/>
  <c r="C66" i="2"/>
  <c r="C86" i="3"/>
  <c r="G86" i="3" s="1"/>
  <c r="I86" i="3" s="1"/>
  <c r="K86" i="3" s="1"/>
  <c r="C58" i="2"/>
  <c r="C59" i="2"/>
  <c r="C49" i="2"/>
  <c r="C51" i="2" s="1"/>
  <c r="C81" i="3"/>
  <c r="D16" i="1" l="1"/>
  <c r="F15" i="1"/>
  <c r="D16" i="2"/>
  <c r="F15" i="2"/>
  <c r="D15" i="3"/>
  <c r="F14" i="3"/>
  <c r="J56" i="2"/>
  <c r="C68" i="2"/>
  <c r="C61" i="2"/>
  <c r="C83" i="3"/>
  <c r="C88" i="3" s="1"/>
  <c r="G88" i="3" s="1"/>
  <c r="I88" i="3" s="1"/>
  <c r="K88" i="3" s="1"/>
  <c r="H48" i="4"/>
  <c r="I49" i="4" s="1"/>
  <c r="D16" i="3" l="1"/>
  <c r="F15" i="3"/>
  <c r="D17" i="2"/>
  <c r="F16" i="2"/>
  <c r="D17" i="1"/>
  <c r="F16" i="1"/>
  <c r="J59" i="2"/>
  <c r="J61" i="2" s="1"/>
  <c r="J64" i="2" s="1"/>
  <c r="J67" i="2" s="1"/>
  <c r="M56" i="2"/>
  <c r="M58" i="2" s="1"/>
  <c r="M59" i="2" s="1"/>
  <c r="C70" i="2"/>
  <c r="C72" i="2" s="1"/>
  <c r="C75" i="2" s="1"/>
  <c r="C78" i="2" s="1"/>
  <c r="C54" i="4"/>
  <c r="H26" i="4"/>
  <c r="G26" i="4"/>
  <c r="J27" i="4"/>
  <c r="J28" i="4"/>
  <c r="D18" i="1" l="1"/>
  <c r="F17" i="1"/>
  <c r="D18" i="2"/>
  <c r="F17" i="2"/>
  <c r="D17" i="3"/>
  <c r="F16" i="3"/>
  <c r="J26" i="4"/>
  <c r="J29" i="4" s="1"/>
  <c r="G54" i="4" s="1"/>
  <c r="G55" i="4" s="1"/>
  <c r="C29" i="4"/>
  <c r="D54" i="4" s="1"/>
  <c r="E54" i="4" s="1"/>
  <c r="P89" i="1"/>
  <c r="D28" i="4"/>
  <c r="E28" i="4" s="1"/>
  <c r="D27" i="4"/>
  <c r="E27" i="4" s="1"/>
  <c r="E26" i="4"/>
  <c r="D19" i="2" l="1"/>
  <c r="F18" i="2"/>
  <c r="D18" i="3"/>
  <c r="F17" i="3"/>
  <c r="D19" i="1"/>
  <c r="F18" i="1"/>
  <c r="E29" i="4"/>
  <c r="D20" i="1" l="1"/>
  <c r="F19" i="1"/>
  <c r="F18" i="3"/>
  <c r="D19" i="3"/>
  <c r="D20" i="2"/>
  <c r="F19" i="2"/>
  <c r="D17" i="4"/>
  <c r="E17" i="4" s="1"/>
  <c r="D16" i="4"/>
  <c r="E16" i="4" s="1"/>
  <c r="D21" i="2" l="1"/>
  <c r="F20" i="2"/>
  <c r="F19" i="3"/>
  <c r="D20" i="3"/>
  <c r="D21" i="1"/>
  <c r="F20" i="1"/>
  <c r="E15" i="4"/>
  <c r="E18" i="4" s="1"/>
  <c r="E20" i="4" s="1"/>
  <c r="L17" i="4"/>
  <c r="L8" i="4"/>
  <c r="L7" i="4"/>
  <c r="L4" i="4"/>
  <c r="P4" i="4"/>
  <c r="P10" i="4" s="1"/>
  <c r="P11" i="4" s="1"/>
  <c r="H11" i="4"/>
  <c r="N12" i="4"/>
  <c r="N13" i="4"/>
  <c r="N16" i="4"/>
  <c r="N20" i="4" s="1"/>
  <c r="P5" i="4"/>
  <c r="P7" i="4" s="1"/>
  <c r="I16" i="4"/>
  <c r="I17" i="4" s="1"/>
  <c r="D22" i="1" l="1"/>
  <c r="F21" i="1"/>
  <c r="D21" i="3"/>
  <c r="F20" i="3"/>
  <c r="L11" i="4"/>
  <c r="D22" i="2"/>
  <c r="F21" i="2"/>
  <c r="P14" i="4"/>
  <c r="R14" i="4" s="1"/>
  <c r="N17" i="4"/>
  <c r="N18" i="4" s="1"/>
  <c r="P17" i="4"/>
  <c r="P19" i="4" s="1"/>
  <c r="D23" i="2" l="1"/>
  <c r="F22" i="2"/>
  <c r="D22" i="3"/>
  <c r="F21" i="3"/>
  <c r="D23" i="1"/>
  <c r="F22" i="1"/>
  <c r="C18" i="4"/>
  <c r="D24" i="1" l="1"/>
  <c r="F23" i="1"/>
  <c r="F22" i="3"/>
  <c r="D23" i="3"/>
  <c r="D24" i="2"/>
  <c r="F23" i="2"/>
  <c r="E22" i="4"/>
  <c r="C12" i="4"/>
  <c r="D25" i="2" l="1"/>
  <c r="F24" i="2"/>
  <c r="D24" i="3"/>
  <c r="F23" i="3"/>
  <c r="D25" i="1"/>
  <c r="F24" i="1"/>
  <c r="D26" i="1" l="1"/>
  <c r="F25" i="1"/>
  <c r="D25" i="3"/>
  <c r="F24" i="3"/>
  <c r="D26" i="2"/>
  <c r="F25" i="2"/>
  <c r="D27" i="2" l="1"/>
  <c r="F26" i="2"/>
  <c r="F25" i="3"/>
  <c r="D26" i="3"/>
  <c r="D27" i="1"/>
  <c r="F26" i="1"/>
  <c r="D28" i="1" l="1"/>
  <c r="F27" i="1"/>
  <c r="D27" i="3"/>
  <c r="F26" i="3"/>
  <c r="D28" i="2"/>
  <c r="F27" i="2"/>
  <c r="D29" i="2" l="1"/>
  <c r="F28" i="2"/>
  <c r="D28" i="3"/>
  <c r="F27" i="3"/>
  <c r="D29" i="1"/>
  <c r="F28" i="1"/>
  <c r="D30" i="1" l="1"/>
  <c r="F29" i="1"/>
  <c r="D29" i="3"/>
  <c r="F28" i="3"/>
  <c r="D30" i="2"/>
  <c r="F29" i="2"/>
  <c r="D31" i="2" l="1"/>
  <c r="F30" i="2"/>
  <c r="D30" i="3"/>
  <c r="F29" i="3"/>
  <c r="D31" i="1"/>
  <c r="F30" i="1"/>
  <c r="D32" i="1" l="1"/>
  <c r="F31" i="1"/>
  <c r="F30" i="3"/>
  <c r="D31" i="3"/>
  <c r="D32" i="2"/>
  <c r="F31" i="2"/>
  <c r="D33" i="2" l="1"/>
  <c r="F32" i="2"/>
  <c r="D32" i="3"/>
  <c r="F31" i="3"/>
  <c r="D33" i="1"/>
  <c r="F32" i="1"/>
  <c r="D34" i="1" l="1"/>
  <c r="F33" i="1"/>
  <c r="D33" i="3"/>
  <c r="F32" i="3"/>
  <c r="D34" i="2"/>
  <c r="F33" i="2"/>
  <c r="D35" i="2" l="1"/>
  <c r="F34" i="2"/>
  <c r="D34" i="3"/>
  <c r="F33" i="3"/>
  <c r="D35" i="1"/>
  <c r="F34" i="1"/>
  <c r="D36" i="1" l="1"/>
  <c r="F35" i="1"/>
  <c r="D35" i="3"/>
  <c r="F34" i="3"/>
  <c r="D36" i="2"/>
  <c r="F35" i="2"/>
  <c r="D37" i="2" l="1"/>
  <c r="F36" i="2"/>
  <c r="D36" i="3"/>
  <c r="F35" i="3"/>
  <c r="D37" i="1"/>
  <c r="F36" i="1"/>
  <c r="D38" i="1" l="1"/>
  <c r="F37" i="1"/>
  <c r="D37" i="3"/>
  <c r="F36" i="3"/>
  <c r="D38" i="2"/>
  <c r="F37" i="2"/>
  <c r="D39" i="2" l="1"/>
  <c r="F38" i="2"/>
  <c r="D38" i="3"/>
  <c r="F37" i="3"/>
  <c r="D39" i="1"/>
  <c r="F38" i="1"/>
  <c r="D40" i="1" l="1"/>
  <c r="F39" i="1"/>
  <c r="D39" i="3"/>
  <c r="F38" i="3"/>
  <c r="D40" i="2"/>
  <c r="F39" i="2"/>
  <c r="D41" i="2" l="1"/>
  <c r="F40" i="2"/>
  <c r="D40" i="3"/>
  <c r="F39" i="3"/>
  <c r="D41" i="1"/>
  <c r="F40" i="1"/>
  <c r="D42" i="1" l="1"/>
  <c r="F41" i="1"/>
  <c r="D41" i="3"/>
  <c r="F40" i="3"/>
  <c r="D42" i="2"/>
  <c r="F42" i="2" s="1"/>
  <c r="F41" i="2"/>
  <c r="D42" i="3" l="1"/>
  <c r="F41" i="3"/>
  <c r="D43" i="1"/>
  <c r="F42" i="1"/>
  <c r="D44" i="1" l="1"/>
  <c r="F43" i="1"/>
  <c r="D43" i="3"/>
  <c r="F42" i="3"/>
  <c r="D44" i="3" l="1"/>
  <c r="F43" i="3"/>
  <c r="D45" i="1"/>
  <c r="F44" i="1"/>
  <c r="D46" i="1" l="1"/>
  <c r="F45" i="1"/>
  <c r="D45" i="3"/>
  <c r="F44" i="3"/>
  <c r="D46" i="3" l="1"/>
  <c r="F45" i="3"/>
  <c r="D47" i="1"/>
  <c r="F46" i="1"/>
  <c r="D48" i="1" l="1"/>
  <c r="F47" i="1"/>
  <c r="D47" i="3"/>
  <c r="F46" i="3"/>
  <c r="D48" i="3" l="1"/>
  <c r="F47" i="3"/>
  <c r="D49" i="1"/>
  <c r="F48" i="1"/>
  <c r="D50" i="1" l="1"/>
  <c r="F49" i="1"/>
  <c r="D49" i="3"/>
  <c r="F48" i="3"/>
  <c r="D50" i="3" l="1"/>
  <c r="F49" i="3"/>
  <c r="D51" i="1"/>
  <c r="F50" i="1"/>
  <c r="D52" i="1" l="1"/>
  <c r="F51" i="1"/>
  <c r="D51" i="3"/>
  <c r="F50" i="3"/>
  <c r="D52" i="3" l="1"/>
  <c r="F51" i="3"/>
  <c r="D53" i="1"/>
  <c r="F52" i="1"/>
  <c r="D54" i="1" l="1"/>
  <c r="F53" i="1"/>
  <c r="D53" i="3"/>
  <c r="F52" i="3"/>
  <c r="D54" i="3" l="1"/>
  <c r="F53" i="3"/>
  <c r="D55" i="1"/>
  <c r="F54" i="1"/>
  <c r="D55" i="3" l="1"/>
  <c r="F54" i="3"/>
  <c r="D56" i="1"/>
  <c r="F55" i="1"/>
  <c r="D57" i="1" l="1"/>
  <c r="F56" i="1"/>
  <c r="D56" i="3"/>
  <c r="F55" i="3"/>
  <c r="D57" i="3" l="1"/>
  <c r="F56" i="3"/>
  <c r="D58" i="1"/>
  <c r="F57" i="1"/>
  <c r="D59" i="1" l="1"/>
  <c r="F58" i="1"/>
  <c r="F57" i="3"/>
  <c r="D58" i="3"/>
  <c r="D59" i="3" l="1"/>
  <c r="F58" i="3"/>
  <c r="D60" i="1"/>
  <c r="F59" i="1"/>
  <c r="D60" i="3" l="1"/>
  <c r="F59" i="3"/>
  <c r="D61" i="1"/>
  <c r="F60" i="1"/>
  <c r="D61" i="3" l="1"/>
  <c r="F60" i="3"/>
  <c r="D62" i="1"/>
  <c r="F61" i="1"/>
  <c r="D63" i="1" l="1"/>
  <c r="F62" i="1"/>
  <c r="F61" i="3"/>
  <c r="D62" i="3"/>
  <c r="F62" i="3" l="1"/>
  <c r="D63" i="3"/>
  <c r="D64" i="1"/>
  <c r="F63" i="1"/>
  <c r="D65" i="1" l="1"/>
  <c r="F64" i="1"/>
  <c r="F63" i="3"/>
  <c r="D64" i="3"/>
  <c r="D65" i="3" l="1"/>
  <c r="F64" i="3"/>
  <c r="D66" i="1"/>
  <c r="F65" i="1"/>
  <c r="D67" i="1" l="1"/>
  <c r="F66" i="1"/>
  <c r="D66" i="3"/>
  <c r="F65" i="3"/>
  <c r="D67" i="3" l="1"/>
  <c r="F66" i="3"/>
  <c r="D68" i="1"/>
  <c r="F67" i="1"/>
  <c r="D69" i="1" l="1"/>
  <c r="F68" i="1"/>
  <c r="D68" i="3"/>
  <c r="F67" i="3"/>
  <c r="F68" i="3" l="1"/>
  <c r="D69" i="3"/>
  <c r="D70" i="1"/>
  <c r="F69" i="1"/>
  <c r="D71" i="1" l="1"/>
  <c r="F70" i="1"/>
  <c r="F69" i="3"/>
  <c r="D70" i="3"/>
  <c r="D71" i="3" l="1"/>
  <c r="F71" i="3" s="1"/>
  <c r="F70" i="3"/>
  <c r="D72" i="1"/>
  <c r="F71" i="1"/>
  <c r="D73" i="1" l="1"/>
  <c r="F72" i="1"/>
  <c r="D74" i="1" l="1"/>
  <c r="F73" i="1"/>
  <c r="D75" i="1" l="1"/>
  <c r="F74" i="1"/>
  <c r="D76" i="1" l="1"/>
  <c r="F75" i="1"/>
  <c r="D77" i="1" l="1"/>
  <c r="F76" i="1"/>
  <c r="D78" i="1" l="1"/>
  <c r="F77" i="1"/>
  <c r="D79" i="1" l="1"/>
  <c r="F78" i="1"/>
  <c r="D80" i="1" l="1"/>
  <c r="F79" i="1"/>
  <c r="D81" i="1" l="1"/>
  <c r="F81" i="1" s="1"/>
  <c r="F80" i="1"/>
</calcChain>
</file>

<file path=xl/sharedStrings.xml><?xml version="1.0" encoding="utf-8"?>
<sst xmlns="http://schemas.openxmlformats.org/spreadsheetml/2006/main" count="1455" uniqueCount="428">
  <si>
    <t>SPS-01</t>
  </si>
  <si>
    <t>SPS-02</t>
  </si>
  <si>
    <t>SPS-03</t>
  </si>
  <si>
    <t>SPS-04</t>
  </si>
  <si>
    <t>SPS-05</t>
  </si>
  <si>
    <t>SPS-06</t>
  </si>
  <si>
    <t>SPS-07</t>
  </si>
  <si>
    <t>SPS-08</t>
  </si>
  <si>
    <t>SPS-09</t>
  </si>
  <si>
    <t>SPS-10</t>
  </si>
  <si>
    <t>SPS-11</t>
  </si>
  <si>
    <t>SPS-12</t>
  </si>
  <si>
    <t>SPS-13</t>
  </si>
  <si>
    <t>SPS-14</t>
  </si>
  <si>
    <t>SPS-15</t>
  </si>
  <si>
    <t>SPS-16</t>
  </si>
  <si>
    <t>SPS-17</t>
  </si>
  <si>
    <t>SPS-18</t>
  </si>
  <si>
    <t>SPS-19</t>
  </si>
  <si>
    <t>SPS-20</t>
  </si>
  <si>
    <t>BILL NO</t>
  </si>
  <si>
    <t>DATE</t>
  </si>
  <si>
    <t>AMOUNT</t>
  </si>
  <si>
    <t>ED</t>
  </si>
  <si>
    <t>Deputy Manager-(Fin)</t>
  </si>
  <si>
    <t>Dy.General Manager P</t>
  </si>
  <si>
    <t>Susngi Adelbert</t>
  </si>
  <si>
    <t>Jitendra Nayak</t>
  </si>
  <si>
    <t>Sunil Kumar</t>
  </si>
  <si>
    <t>Pradeep Gairol</t>
  </si>
  <si>
    <t>General Manager</t>
  </si>
  <si>
    <t>Vaibhav Dhairya Shakti</t>
  </si>
  <si>
    <t>Pradip Chandra Das</t>
  </si>
  <si>
    <t>Accountant</t>
  </si>
  <si>
    <t>Lalhminghlui</t>
  </si>
  <si>
    <t>Virendra Kumar</t>
  </si>
  <si>
    <t>Datta Subrata</t>
  </si>
  <si>
    <t>Appala Lakshmi Nayarana</t>
  </si>
  <si>
    <t>IPC-01</t>
  </si>
  <si>
    <t>IPC-02 &amp; 03</t>
  </si>
  <si>
    <t>IPC-PA</t>
  </si>
  <si>
    <t>IPC-18</t>
  </si>
  <si>
    <t>IPC-19</t>
  </si>
  <si>
    <t>DEBASIS ROY</t>
  </si>
  <si>
    <t>IPC-05-6</t>
  </si>
  <si>
    <t>ADV</t>
  </si>
  <si>
    <t>PKG-5</t>
  </si>
  <si>
    <t>PKG-2</t>
  </si>
  <si>
    <t>PKG-3</t>
  </si>
  <si>
    <t>Total Receipt</t>
  </si>
  <si>
    <t>GST</t>
  </si>
  <si>
    <t>Net</t>
  </si>
  <si>
    <t>IPC-10</t>
  </si>
  <si>
    <t>IPC-11</t>
  </si>
  <si>
    <t>IPC-20</t>
  </si>
  <si>
    <t>SPS-21</t>
  </si>
  <si>
    <t>IPC-21</t>
  </si>
  <si>
    <t>SPS-22</t>
  </si>
  <si>
    <t>VK-12/3/22</t>
  </si>
  <si>
    <t>TDS GST</t>
  </si>
  <si>
    <t>NET</t>
  </si>
  <si>
    <t>Tickets</t>
  </si>
  <si>
    <t>TL</t>
  </si>
  <si>
    <t>IPC-13</t>
  </si>
  <si>
    <t>IPC-12</t>
  </si>
  <si>
    <t>PPA</t>
  </si>
  <si>
    <t>Net Receipt ( with GST)</t>
  </si>
  <si>
    <t>Net Receipt ( without GST)</t>
  </si>
  <si>
    <t>SPS-15 &amp; IPC-14</t>
  </si>
  <si>
    <t>IPC-15</t>
  </si>
  <si>
    <t>IPC-16</t>
  </si>
  <si>
    <t>IPC-17</t>
  </si>
  <si>
    <t>TDS ON GST</t>
  </si>
  <si>
    <t>TOTAL RECEIVABLE</t>
  </si>
  <si>
    <t>IPC-14</t>
  </si>
  <si>
    <t>TOTAL</t>
  </si>
  <si>
    <t>RECEIPT AMOUNT</t>
  </si>
  <si>
    <t>ADD : TDS ON GST</t>
  </si>
  <si>
    <t>LESS : GST</t>
  </si>
  <si>
    <t>NET RECEIPTS</t>
  </si>
  <si>
    <t>Add : PPA</t>
  </si>
  <si>
    <t>Total Payble</t>
  </si>
  <si>
    <t>Less : Paid</t>
  </si>
  <si>
    <t>Balance</t>
  </si>
  <si>
    <t>GST - TDS</t>
  </si>
  <si>
    <t>Comm. @ 1%</t>
  </si>
  <si>
    <t>Total Receipts</t>
  </si>
  <si>
    <t>IPC-22</t>
  </si>
  <si>
    <t>SPS-23</t>
  </si>
  <si>
    <t>IPC-23</t>
  </si>
  <si>
    <t>JGK ON GROSS RECEIPTS BASIS</t>
  </si>
  <si>
    <t>JGK ON NET RECEIPTS BASIS</t>
  </si>
  <si>
    <t>TOTAL RECEIPTS (PKG-2 &amp; 3)</t>
  </si>
  <si>
    <t>SPS-24</t>
  </si>
  <si>
    <t>29.09.2020</t>
  </si>
  <si>
    <t>19.12.2020</t>
  </si>
  <si>
    <t>21.01.2021</t>
  </si>
  <si>
    <t>02.03.2021</t>
  </si>
  <si>
    <t>28.03.2021</t>
  </si>
  <si>
    <t>14.04.2021</t>
  </si>
  <si>
    <t>16.06.2021</t>
  </si>
  <si>
    <t>06.12.2021</t>
  </si>
  <si>
    <t>15.01.2022</t>
  </si>
  <si>
    <t>28.02.2022</t>
  </si>
  <si>
    <t>04.03.2022</t>
  </si>
  <si>
    <t>22.07.2022</t>
  </si>
  <si>
    <t>08.08.2022</t>
  </si>
  <si>
    <t>10.12.2022</t>
  </si>
  <si>
    <t>Amount (L)</t>
  </si>
  <si>
    <t>Total</t>
  </si>
  <si>
    <t>Date</t>
  </si>
  <si>
    <t>30.03.2023</t>
  </si>
  <si>
    <t>ED @ 1%</t>
  </si>
  <si>
    <t>BK Shrivastava GM - Selling - .40 %</t>
  </si>
  <si>
    <t>IPC-24</t>
  </si>
  <si>
    <t>SPS-25</t>
  </si>
  <si>
    <t>IPC-25</t>
  </si>
  <si>
    <t>SPS-26</t>
  </si>
  <si>
    <t>NET RECEIPT AMOUNT</t>
  </si>
  <si>
    <t>IPC-26</t>
  </si>
  <si>
    <t>SPS-27</t>
  </si>
  <si>
    <t>IPC-27</t>
  </si>
  <si>
    <t>PKG-02 UPTO SPS-24 &amp; IPC-24</t>
  </si>
  <si>
    <t>PKG-03 UPTO SPS-27 &amp; IPC-27</t>
  </si>
  <si>
    <t>Receipts</t>
  </si>
  <si>
    <t>Amount</t>
  </si>
  <si>
    <t>Narration</t>
  </si>
  <si>
    <t>21.01.2023</t>
  </si>
  <si>
    <t>03.02.2023</t>
  </si>
  <si>
    <t>03.03.2023</t>
  </si>
  <si>
    <t>02.03.2023</t>
  </si>
  <si>
    <t>05.03.2023</t>
  </si>
  <si>
    <t>16.05.2023</t>
  </si>
  <si>
    <t>08.06.2023</t>
  </si>
  <si>
    <t>14.04.2023</t>
  </si>
  <si>
    <t>15.06.2023</t>
  </si>
  <si>
    <t>20.06.2023</t>
  </si>
  <si>
    <t>Payments</t>
  </si>
  <si>
    <t>Bill No.</t>
  </si>
  <si>
    <t>Receipt Amount</t>
  </si>
  <si>
    <t>PKG-2 - SPS-20 onwards</t>
  </si>
  <si>
    <t>PKG-3 SPS-18 onwards</t>
  </si>
  <si>
    <t>Gross Total</t>
  </si>
  <si>
    <t>Net Payments</t>
  </si>
  <si>
    <t>24.11.2023</t>
  </si>
  <si>
    <t>Total PKG-2</t>
  </si>
  <si>
    <t>Total PKG-3</t>
  </si>
  <si>
    <t>03.04.2023</t>
  </si>
  <si>
    <t>Complete upto March-23</t>
  </si>
  <si>
    <t>10.05.2023</t>
  </si>
  <si>
    <t>LDP - Bill No. 06</t>
  </si>
  <si>
    <t>17000 Advance Paid</t>
  </si>
  <si>
    <t>10.08.2023</t>
  </si>
  <si>
    <t>28.09.2023</t>
  </si>
  <si>
    <t>Received at Keifang</t>
  </si>
  <si>
    <t>Amount Returned</t>
  </si>
  <si>
    <t>Return</t>
  </si>
  <si>
    <t>Work - paid by Mukesh Ji</t>
  </si>
  <si>
    <t>03.07.2023</t>
  </si>
  <si>
    <t>Net Payment</t>
  </si>
  <si>
    <t>15.08.2022</t>
  </si>
  <si>
    <t>Advance</t>
  </si>
  <si>
    <t>HSS Bill No. 1</t>
  </si>
  <si>
    <t>08.12.2022</t>
  </si>
  <si>
    <t>24.12.2022</t>
  </si>
  <si>
    <t>Received</t>
  </si>
  <si>
    <t>Lime &amp; Bill</t>
  </si>
  <si>
    <t>O/C CHETRAM MEENA</t>
  </si>
  <si>
    <t>Work Amount</t>
  </si>
  <si>
    <t>As per Vishnu Engineer</t>
  </si>
  <si>
    <t>Advance from Bill No. 07</t>
  </si>
  <si>
    <t>07.11.2023</t>
  </si>
  <si>
    <t>DHAIRYA SHAKTI VAIBHAV</t>
  </si>
  <si>
    <t>RAHUL JAJORIYA</t>
  </si>
  <si>
    <t>SPS-28</t>
  </si>
  <si>
    <t>IPC-28</t>
  </si>
  <si>
    <t>30.12.2023</t>
  </si>
  <si>
    <t>Bitumen Drum - RCC</t>
  </si>
  <si>
    <t>13.01.2023</t>
  </si>
  <si>
    <t>Given at Dharuheda for 1.68 CR Bill(2%)</t>
  </si>
  <si>
    <t>10 Credit Return &amp; 17.80 for RAR 4th &amp; 5th - Complete upto March-23</t>
  </si>
  <si>
    <t>08.04.2023</t>
  </si>
  <si>
    <t>30.05.2023</t>
  </si>
  <si>
    <t>Credit Return -08.04.23</t>
  </si>
  <si>
    <t>6th Rar</t>
  </si>
  <si>
    <t>7th Rar</t>
  </si>
  <si>
    <t>10.06.2023</t>
  </si>
  <si>
    <t>02.06.2023</t>
  </si>
  <si>
    <t>Paid at Jaipur</t>
  </si>
  <si>
    <t>Work (From Vadodara By Gulshan)</t>
  </si>
  <si>
    <t>Paid at Ashiyana Amantran</t>
  </si>
  <si>
    <t>04.10.2023</t>
  </si>
  <si>
    <t>Return (From Vadodara By Gulshan)</t>
  </si>
  <si>
    <t>18.02.2023</t>
  </si>
  <si>
    <t>Return from Silchar to Banglore</t>
  </si>
  <si>
    <t>Return (Guwahati to Banglore)</t>
  </si>
  <si>
    <t>Vadodara</t>
  </si>
  <si>
    <t>Banglore</t>
  </si>
  <si>
    <t>SPS-29</t>
  </si>
  <si>
    <t>IPC-29</t>
  </si>
  <si>
    <t>SPS-30</t>
  </si>
  <si>
    <t>IPC-30</t>
  </si>
  <si>
    <t>SPS-31</t>
  </si>
  <si>
    <t>IPC-31</t>
  </si>
  <si>
    <t>SPS-32</t>
  </si>
  <si>
    <t>IPC-32</t>
  </si>
  <si>
    <t>04.12.2023</t>
  </si>
  <si>
    <t>17.11.2023</t>
  </si>
  <si>
    <t>28.10.2023</t>
  </si>
  <si>
    <t>12.10.2023</t>
  </si>
  <si>
    <t>10.10.2023</t>
  </si>
  <si>
    <t>12.09.2023</t>
  </si>
  <si>
    <t>11.08.2023</t>
  </si>
  <si>
    <t>21.07.2023</t>
  </si>
  <si>
    <t>SPS-1 (View Point)</t>
  </si>
  <si>
    <t>14/12/2023</t>
  </si>
  <si>
    <t>28.12.2023</t>
  </si>
  <si>
    <t>23.01.2024</t>
  </si>
  <si>
    <t>27.02.2024</t>
  </si>
  <si>
    <t>04.03.2024</t>
  </si>
  <si>
    <t>29.03.2024</t>
  </si>
  <si>
    <t>31.03.2024</t>
  </si>
  <si>
    <r>
      <t xml:space="preserve">PKG-03 UPTO SPS-32&amp; IPC-32 &amp; </t>
    </r>
    <r>
      <rPr>
        <b/>
        <sz val="11"/>
        <color rgb="FFFF0000"/>
        <rFont val="Calibri"/>
        <family val="2"/>
        <scheme val="minor"/>
      </rPr>
      <t>SPS-1 of View Point</t>
    </r>
  </si>
  <si>
    <t>26.02.2024</t>
  </si>
  <si>
    <t>Work (Jaipur to Banglore)</t>
  </si>
  <si>
    <t>Credit Given for Donation ( to be receive)</t>
  </si>
  <si>
    <t>09.12.2022</t>
  </si>
  <si>
    <t>06.01.2023</t>
  </si>
  <si>
    <t>14.02.2023</t>
  </si>
  <si>
    <t>09.03.2023</t>
  </si>
  <si>
    <t>27.03.2023</t>
  </si>
  <si>
    <t>14.12.2023</t>
  </si>
  <si>
    <t>21.10.2022</t>
  </si>
  <si>
    <t>05.12.2022</t>
  </si>
  <si>
    <t>11.01.2023</t>
  </si>
  <si>
    <t>28.03.2023</t>
  </si>
  <si>
    <t>GVV</t>
  </si>
  <si>
    <t>NG PKG-2</t>
  </si>
  <si>
    <t>NG PKG-3</t>
  </si>
  <si>
    <t>APPL</t>
  </si>
  <si>
    <t>BALAJI</t>
  </si>
  <si>
    <t>CUMMALATIVE</t>
  </si>
  <si>
    <t>As Per MOP</t>
  </si>
  <si>
    <t>Difference</t>
  </si>
  <si>
    <t>13.05.2020</t>
  </si>
  <si>
    <t>15.06.2020</t>
  </si>
  <si>
    <t>28.08.2020</t>
  </si>
  <si>
    <t>19.09.2020</t>
  </si>
  <si>
    <t>11.11.2020</t>
  </si>
  <si>
    <t>28.11.2020</t>
  </si>
  <si>
    <t>16.12.2020</t>
  </si>
  <si>
    <t>29.12.2020</t>
  </si>
  <si>
    <t>18.01.2021</t>
  </si>
  <si>
    <t>30.01.2021</t>
  </si>
  <si>
    <t>18.02.2021</t>
  </si>
  <si>
    <t>24.02.2021</t>
  </si>
  <si>
    <t>08.03.2021</t>
  </si>
  <si>
    <t>26.03.2021</t>
  </si>
  <si>
    <t>12.05.2021</t>
  </si>
  <si>
    <t>31.05.2021</t>
  </si>
  <si>
    <t>26.08.2021</t>
  </si>
  <si>
    <t>01.12.2021</t>
  </si>
  <si>
    <t>30.12.2021</t>
  </si>
  <si>
    <t>10.02.2022</t>
  </si>
  <si>
    <t>08.03.2022</t>
  </si>
  <si>
    <t>12.03.2022</t>
  </si>
  <si>
    <t>Debasis Roy</t>
  </si>
  <si>
    <t>08.04.2022</t>
  </si>
  <si>
    <t>10.04.2022</t>
  </si>
  <si>
    <t>11.06.2022</t>
  </si>
  <si>
    <t>20.05.2022</t>
  </si>
  <si>
    <t>Dhairya Shakti Vaibhav</t>
  </si>
  <si>
    <t xml:space="preserve"> </t>
  </si>
  <si>
    <t>12.07.2022</t>
  </si>
  <si>
    <t>19.07.2022</t>
  </si>
  <si>
    <t>11.08.2022</t>
  </si>
  <si>
    <t>23.08.2022</t>
  </si>
  <si>
    <t>23.09.2022</t>
  </si>
  <si>
    <t>19.10.2022</t>
  </si>
  <si>
    <t>24.11.2022</t>
  </si>
  <si>
    <t>29.11.2022</t>
  </si>
  <si>
    <t>26.12.2022</t>
  </si>
  <si>
    <t>SPS-30 &amp; IPC-29</t>
  </si>
  <si>
    <t>01.02.2023</t>
  </si>
  <si>
    <t>10.02.2023</t>
  </si>
  <si>
    <t>28.02.2023</t>
  </si>
  <si>
    <t>07.03.2023</t>
  </si>
  <si>
    <t>22.03.2023</t>
  </si>
  <si>
    <t>SPS-33</t>
  </si>
  <si>
    <t>23.03.2023</t>
  </si>
  <si>
    <t>COS Bill</t>
  </si>
  <si>
    <t>31.03.2023</t>
  </si>
  <si>
    <t>IPC-33</t>
  </si>
  <si>
    <t>29.04.2023</t>
  </si>
  <si>
    <t>SPS-34</t>
  </si>
  <si>
    <t>25.05.2023</t>
  </si>
  <si>
    <t>IPC-34</t>
  </si>
  <si>
    <t>30.06.2023</t>
  </si>
  <si>
    <t>IPC-35</t>
  </si>
  <si>
    <t>13.09.2023</t>
  </si>
  <si>
    <t>SPS-35</t>
  </si>
  <si>
    <t>SPS-36</t>
  </si>
  <si>
    <t>05.10.2023</t>
  </si>
  <si>
    <t>SPS-37</t>
  </si>
  <si>
    <t>25.11.2023</t>
  </si>
  <si>
    <t>IPC-36</t>
  </si>
  <si>
    <t>04.11.2023</t>
  </si>
  <si>
    <t>IPC-37</t>
  </si>
  <si>
    <t>12.12.2023</t>
  </si>
  <si>
    <t>SPS-1 View Point</t>
  </si>
  <si>
    <t>21.12.2023</t>
  </si>
  <si>
    <t>SPS-38</t>
  </si>
  <si>
    <t>IPC-38</t>
  </si>
  <si>
    <t>16.03.2024</t>
  </si>
  <si>
    <t>SPS-39</t>
  </si>
  <si>
    <t>27.03.2024</t>
  </si>
  <si>
    <t>IPC-39</t>
  </si>
  <si>
    <t>09.05.2024</t>
  </si>
  <si>
    <t>SPS-40</t>
  </si>
  <si>
    <t>14.05.2024</t>
  </si>
  <si>
    <t>SPS-41</t>
  </si>
  <si>
    <t>20.07.2024</t>
  </si>
  <si>
    <t>SPS-42</t>
  </si>
  <si>
    <t>12.09.2024</t>
  </si>
  <si>
    <t>SPS-2 View Point</t>
  </si>
  <si>
    <t>16.11.2024</t>
  </si>
  <si>
    <t>IPC-41</t>
  </si>
  <si>
    <t>26.11.2024</t>
  </si>
  <si>
    <t>IPC-42</t>
  </si>
  <si>
    <t>12.12.2024</t>
  </si>
  <si>
    <t>SPS-43</t>
  </si>
  <si>
    <t>18.12.2024</t>
  </si>
  <si>
    <t>IPC-44</t>
  </si>
  <si>
    <t>29.03.2025</t>
  </si>
  <si>
    <t>SPS-45</t>
  </si>
  <si>
    <t>31.03.2025</t>
  </si>
  <si>
    <t>SPS-44</t>
  </si>
  <si>
    <t>10.03.2025</t>
  </si>
  <si>
    <t>SPS-46</t>
  </si>
  <si>
    <t>07.08.2025</t>
  </si>
  <si>
    <t>18.07.2023</t>
  </si>
  <si>
    <t>IPC-45</t>
  </si>
  <si>
    <t>14.05.2025</t>
  </si>
  <si>
    <t>IPC-40</t>
  </si>
  <si>
    <t>30.05.2024</t>
  </si>
  <si>
    <t>IPC-43</t>
  </si>
  <si>
    <t>22.01.2025</t>
  </si>
  <si>
    <t>to be check</t>
  </si>
  <si>
    <t>12.11.2020</t>
  </si>
  <si>
    <t>03.12.2020</t>
  </si>
  <si>
    <t>30.12.2020</t>
  </si>
  <si>
    <t>29.01.2021</t>
  </si>
  <si>
    <t>25.02.2021</t>
  </si>
  <si>
    <t>02.07.2021</t>
  </si>
  <si>
    <t>24.09.2021</t>
  </si>
  <si>
    <t>SPS-09 &amp; IPC- 7&amp;8</t>
  </si>
  <si>
    <t>28.10.2021</t>
  </si>
  <si>
    <t>SPS-10 &amp; IPC-9</t>
  </si>
  <si>
    <t>10.12.2021</t>
  </si>
  <si>
    <t>SPS-11 &amp; IPC-10</t>
  </si>
  <si>
    <t>04.01.2022</t>
  </si>
  <si>
    <t>14.02.2022</t>
  </si>
  <si>
    <t>SPS-13 &amp; IPC-12</t>
  </si>
  <si>
    <t>10.03.2022</t>
  </si>
  <si>
    <t>19.04.2022</t>
  </si>
  <si>
    <t>12.05.2022</t>
  </si>
  <si>
    <t>20.06.2022</t>
  </si>
  <si>
    <t>28.09.2022</t>
  </si>
  <si>
    <t>10.01.2023</t>
  </si>
  <si>
    <t>13.02.2023</t>
  </si>
  <si>
    <t>SPS - Final</t>
  </si>
  <si>
    <t>24.05.2024</t>
  </si>
  <si>
    <t>08.07.2022</t>
  </si>
  <si>
    <t>01.08.2022</t>
  </si>
  <si>
    <t>28.01.2021</t>
  </si>
  <si>
    <t>Net Receipts Cummulative</t>
  </si>
  <si>
    <t>25.09.2021</t>
  </si>
  <si>
    <t>SPS-08 &amp; IPC-6&amp;7</t>
  </si>
  <si>
    <t>29.10.2021</t>
  </si>
  <si>
    <t>IPC-4 &amp;5</t>
  </si>
  <si>
    <t>SPS-09 &amp; IPC-8</t>
  </si>
  <si>
    <t>03.01.2022</t>
  </si>
  <si>
    <t>14.03.2022</t>
  </si>
  <si>
    <t>SPS-14 &amp; IPC-13</t>
  </si>
  <si>
    <t>11.07.2022</t>
  </si>
  <si>
    <t>12.08.2022</t>
  </si>
  <si>
    <t>06.10.2022</t>
  </si>
  <si>
    <t>Rajneesh Jaiswal</t>
  </si>
  <si>
    <t>Rahul Jajoriya</t>
  </si>
  <si>
    <t>06.01.2022</t>
  </si>
  <si>
    <t>12.05.2023</t>
  </si>
  <si>
    <t>20.07.2023</t>
  </si>
  <si>
    <t>11.11.2023</t>
  </si>
  <si>
    <t>16.05.2024</t>
  </si>
  <si>
    <t>04.07.2024</t>
  </si>
  <si>
    <t>30.10.2024</t>
  </si>
  <si>
    <t>18.01.2025</t>
  </si>
  <si>
    <t>Anup Kumar Verma</t>
  </si>
  <si>
    <t>As per MOP</t>
  </si>
  <si>
    <t>18.03.2025</t>
  </si>
  <si>
    <t>20.05.2025</t>
  </si>
  <si>
    <t>09.11.2022</t>
  </si>
  <si>
    <t>24.01.2022</t>
  </si>
  <si>
    <t>24.03.2023</t>
  </si>
  <si>
    <t>21.04.2023</t>
  </si>
  <si>
    <t>31.05.2023</t>
  </si>
  <si>
    <t>05.07.2023</t>
  </si>
  <si>
    <t>21.06.2024</t>
  </si>
  <si>
    <t>12.08.2024</t>
  </si>
  <si>
    <t>16.05.2025</t>
  </si>
  <si>
    <t>Pkg-2</t>
  </si>
  <si>
    <t>Pkg-3</t>
  </si>
  <si>
    <t>Pkg-5</t>
  </si>
  <si>
    <t>C @ 1%</t>
  </si>
  <si>
    <t>SPS-6 to Till Date</t>
  </si>
  <si>
    <t>Lunglei - Pkg-5</t>
  </si>
  <si>
    <t>Keifang - Pkg-2</t>
  </si>
  <si>
    <t>Keifang - Pkg-3</t>
  </si>
  <si>
    <t>Site</t>
  </si>
  <si>
    <t>LT Site Pkg-1</t>
  </si>
  <si>
    <t>LT Site Pkg-2</t>
  </si>
  <si>
    <t>Total Payments</t>
  </si>
  <si>
    <t>LT SITE PKG-A</t>
  </si>
  <si>
    <t>06.09.2023</t>
  </si>
  <si>
    <t>SPS-04 to 18</t>
  </si>
  <si>
    <t>LT SITE PKG-B</t>
  </si>
  <si>
    <t>08.09.2023</t>
  </si>
  <si>
    <t>SPS-04 to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</si>
</sst>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" fontId="0" fillId="0" borderId="0" xfId="0" applyNumberFormat="1"/>
    <xf numFmtId="9" fontId="0" fillId="0" borderId="0" xfId="1" applyFont="1"/>
    <xf numFmtId="10" fontId="0" fillId="0" borderId="0" xfId="1" applyNumberFormat="1" applyFont="1"/>
    <xf numFmtId="3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0" fontId="0" fillId="0" borderId="1" xfId="0" applyBorder="1"/>
    <xf numFmtId="0" fontId="0" fillId="0" borderId="2" xfId="0" applyBorder="1"/>
    <xf numFmtId="1" fontId="0" fillId="0" borderId="3" xfId="0" applyNumberFormat="1" applyBorder="1"/>
    <xf numFmtId="1" fontId="0" fillId="2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1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1" fontId="0" fillId="0" borderId="10" xfId="0" applyNumberForma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1" fillId="0" borderId="11" xfId="0" applyFont="1" applyBorder="1" applyAlignment="1">
      <alignment horizontal="left"/>
    </xf>
    <xf numFmtId="1" fontId="1" fillId="0" borderId="12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center"/>
    </xf>
    <xf numFmtId="0" fontId="1" fillId="0" borderId="17" xfId="0" applyFont="1" applyBorder="1" applyAlignment="1">
      <alignment horizontal="left"/>
    </xf>
    <xf numFmtId="9" fontId="1" fillId="0" borderId="17" xfId="0" applyNumberFormat="1" applyFont="1" applyBorder="1" applyAlignment="1">
      <alignment horizontal="left"/>
    </xf>
    <xf numFmtId="1" fontId="4" fillId="2" borderId="4" xfId="0" applyNumberFormat="1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9" fontId="1" fillId="0" borderId="7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1" fontId="1" fillId="0" borderId="21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left"/>
    </xf>
    <xf numFmtId="1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0" xfId="0" applyNumberFormat="1"/>
    <xf numFmtId="0" fontId="0" fillId="0" borderId="2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" fillId="0" borderId="26" xfId="0" applyFont="1" applyBorder="1"/>
    <xf numFmtId="0" fontId="1" fillId="0" borderId="12" xfId="0" applyFont="1" applyBorder="1"/>
    <xf numFmtId="0" fontId="0" fillId="0" borderId="13" xfId="0" applyBorder="1"/>
    <xf numFmtId="0" fontId="0" fillId="0" borderId="27" xfId="0" applyBorder="1"/>
    <xf numFmtId="0" fontId="0" fillId="0" borderId="14" xfId="0" applyBorder="1"/>
    <xf numFmtId="0" fontId="0" fillId="0" borderId="12" xfId="0" applyBorder="1"/>
    <xf numFmtId="0" fontId="1" fillId="0" borderId="28" xfId="0" applyFont="1" applyBorder="1"/>
    <xf numFmtId="0" fontId="1" fillId="0" borderId="29" xfId="0" applyFont="1" applyBorder="1"/>
    <xf numFmtId="0" fontId="0" fillId="0" borderId="21" xfId="0" applyBorder="1"/>
    <xf numFmtId="0" fontId="0" fillId="0" borderId="28" xfId="0" applyBorder="1"/>
    <xf numFmtId="0" fontId="0" fillId="0" borderId="29" xfId="0" applyBorder="1"/>
    <xf numFmtId="14" fontId="0" fillId="0" borderId="23" xfId="0" applyNumberFormat="1" applyBorder="1" applyAlignment="1">
      <alignment horizontal="center"/>
    </xf>
    <xf numFmtId="164" fontId="1" fillId="0" borderId="12" xfId="0" applyNumberFormat="1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0" fillId="0" borderId="5" xfId="0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0" fillId="0" borderId="5" xfId="0" applyBorder="1"/>
    <xf numFmtId="0" fontId="0" fillId="0" borderId="24" xfId="0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0" fontId="3" fillId="0" borderId="11" xfId="0" applyFont="1" applyBorder="1"/>
    <xf numFmtId="0" fontId="3" fillId="0" borderId="26" xfId="0" applyFont="1" applyBorder="1"/>
    <xf numFmtId="0" fontId="7" fillId="0" borderId="12" xfId="0" applyFont="1" applyBorder="1"/>
    <xf numFmtId="0" fontId="0" fillId="0" borderId="25" xfId="0" applyBorder="1"/>
    <xf numFmtId="0" fontId="6" fillId="0" borderId="7" xfId="0" applyFont="1" applyBorder="1"/>
    <xf numFmtId="2" fontId="0" fillId="0" borderId="0" xfId="0" applyNumberFormat="1" applyAlignment="1">
      <alignment horizontal="center"/>
    </xf>
    <xf numFmtId="14" fontId="0" fillId="0" borderId="27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4" fillId="0" borderId="11" xfId="0" applyFont="1" applyBorder="1"/>
    <xf numFmtId="0" fontId="4" fillId="0" borderId="26" xfId="0" applyFont="1" applyBorder="1"/>
    <xf numFmtId="0" fontId="4" fillId="0" borderId="1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164" fontId="4" fillId="2" borderId="12" xfId="0" applyNumberFormat="1" applyFont="1" applyFill="1" applyBorder="1"/>
    <xf numFmtId="0" fontId="0" fillId="0" borderId="8" xfId="0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26" xfId="0" applyFont="1" applyBorder="1" applyAlignment="1">
      <alignment horizontal="center"/>
    </xf>
    <xf numFmtId="1" fontId="0" fillId="0" borderId="23" xfId="0" applyNumberFormat="1" applyBorder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0" fillId="0" borderId="27" xfId="0" applyNumberFormat="1" applyBorder="1" applyAlignment="1">
      <alignment horizontal="right"/>
    </xf>
    <xf numFmtId="0" fontId="0" fillId="0" borderId="27" xfId="0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12" xfId="0" applyNumberFormat="1" applyFont="1" applyBorder="1"/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4" fontId="1" fillId="0" borderId="25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25" xfId="0" applyFont="1" applyBorder="1"/>
    <xf numFmtId="0" fontId="1" fillId="0" borderId="10" xfId="0" applyFont="1" applyBorder="1"/>
    <xf numFmtId="0" fontId="1" fillId="0" borderId="7" xfId="0" applyFont="1" applyBorder="1" applyAlignment="1">
      <alignment horizontal="center"/>
    </xf>
    <xf numFmtId="14" fontId="1" fillId="0" borderId="23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0" fontId="1" fillId="0" borderId="8" xfId="0" applyFont="1" applyBorder="1"/>
    <xf numFmtId="1" fontId="1" fillId="0" borderId="27" xfId="0" applyNumberFormat="1" applyFont="1" applyBorder="1" applyAlignment="1">
      <alignment horizontal="right"/>
    </xf>
    <xf numFmtId="1" fontId="6" fillId="0" borderId="23" xfId="0" applyNumberFormat="1" applyFont="1" applyBorder="1" applyAlignment="1">
      <alignment horizontal="right"/>
    </xf>
    <xf numFmtId="0" fontId="1" fillId="0" borderId="14" xfId="0" applyFont="1" applyBorder="1"/>
    <xf numFmtId="0" fontId="1" fillId="0" borderId="13" xfId="0" applyFont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0" fontId="1" fillId="0" borderId="27" xfId="0" applyFont="1" applyBorder="1"/>
    <xf numFmtId="0" fontId="1" fillId="0" borderId="27" xfId="0" applyFont="1" applyBorder="1" applyAlignment="1">
      <alignment horizontal="center"/>
    </xf>
    <xf numFmtId="1" fontId="0" fillId="0" borderId="25" xfId="0" applyNumberFormat="1" applyBorder="1" applyAlignment="1">
      <alignment horizontal="right"/>
    </xf>
    <xf numFmtId="0" fontId="6" fillId="0" borderId="13" xfId="0" applyFont="1" applyBorder="1" applyAlignment="1">
      <alignment horizontal="center"/>
    </xf>
    <xf numFmtId="14" fontId="6" fillId="0" borderId="27" xfId="0" applyNumberFormat="1" applyFont="1" applyBorder="1" applyAlignment="1">
      <alignment horizontal="center"/>
    </xf>
    <xf numFmtId="0" fontId="6" fillId="0" borderId="27" xfId="0" applyFont="1" applyBorder="1"/>
    <xf numFmtId="1" fontId="6" fillId="0" borderId="27" xfId="0" applyNumberFormat="1" applyFont="1" applyBorder="1" applyAlignment="1">
      <alignment horizontal="right"/>
    </xf>
    <xf numFmtId="1" fontId="6" fillId="0" borderId="25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/>
    <xf numFmtId="1" fontId="0" fillId="0" borderId="23" xfId="0" applyNumberForma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25" xfId="0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1" fontId="0" fillId="0" borderId="27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1" fontId="1" fillId="2" borderId="26" xfId="0" applyNumberFormat="1" applyFont="1" applyFill="1" applyBorder="1" applyAlignment="1">
      <alignment horizontal="center"/>
    </xf>
    <xf numFmtId="0" fontId="0" fillId="0" borderId="26" xfId="0" applyBorder="1"/>
    <xf numFmtId="1" fontId="0" fillId="0" borderId="2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" fontId="1" fillId="6" borderId="23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4" fontId="6" fillId="0" borderId="23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5" fillId="0" borderId="23" xfId="0" applyNumberFormat="1" applyFont="1" applyBorder="1" applyAlignment="1">
      <alignment horizontal="center"/>
    </xf>
    <xf numFmtId="0" fontId="6" fillId="0" borderId="23" xfId="0" applyFont="1" applyBorder="1"/>
    <xf numFmtId="0" fontId="5" fillId="0" borderId="23" xfId="0" applyFont="1" applyBorder="1" applyAlignment="1">
      <alignment horizontal="center"/>
    </xf>
    <xf numFmtId="9" fontId="0" fillId="0" borderId="0" xfId="0" applyNumberFormat="1"/>
    <xf numFmtId="1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0" fontId="1" fillId="0" borderId="3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right"/>
    </xf>
    <xf numFmtId="0" fontId="1" fillId="0" borderId="24" xfId="0" applyFont="1" applyBorder="1" applyAlignment="1">
      <alignment horizontal="center"/>
    </xf>
    <xf numFmtId="0" fontId="1" fillId="0" borderId="24" xfId="0" applyFont="1" applyBorder="1"/>
    <xf numFmtId="0" fontId="1" fillId="0" borderId="6" xfId="0" applyFont="1" applyBorder="1"/>
    <xf numFmtId="1" fontId="1" fillId="0" borderId="26" xfId="0" applyNumberFormat="1" applyFont="1" applyBorder="1" applyAlignment="1">
      <alignment horizontal="right"/>
    </xf>
    <xf numFmtId="0" fontId="1" fillId="0" borderId="4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zoomScale="85" zoomScaleNormal="85" workbookViewId="0">
      <pane ySplit="2" topLeftCell="A27" activePane="bottomLeft" state="frozen"/>
      <selection pane="bottomLeft" activeCell="C45" sqref="C45"/>
    </sheetView>
  </sheetViews>
  <sheetFormatPr defaultRowHeight="14.5" x14ac:dyDescent="0.35"/>
  <cols>
    <col min="1" max="1" width="15.7265625" style="2" bestFit="1" customWidth="1"/>
    <col min="2" max="2" width="25.453125" style="2" bestFit="1" customWidth="1"/>
    <col min="3" max="3" width="13.90625" style="2" bestFit="1" customWidth="1"/>
    <col min="4" max="7" width="13.90625" style="2" customWidth="1"/>
    <col min="8" max="8" width="14.453125" style="2" customWidth="1"/>
    <col min="9" max="9" width="27.6328125" style="2" bestFit="1" customWidth="1"/>
    <col min="10" max="10" width="15" bestFit="1" customWidth="1"/>
    <col min="11" max="11" width="22.6328125" bestFit="1" customWidth="1"/>
    <col min="12" max="12" width="24.54296875" style="2" customWidth="1"/>
    <col min="13" max="13" width="11" bestFit="1" customWidth="1"/>
    <col min="14" max="14" width="15.6328125" customWidth="1"/>
    <col min="15" max="15" width="12.453125" bestFit="1" customWidth="1"/>
  </cols>
  <sheetData>
    <row r="1" spans="1:15" ht="15" thickBot="1" x14ac:dyDescent="0.4"/>
    <row r="2" spans="1:15" s="5" customFormat="1" ht="29.5" thickBot="1" x14ac:dyDescent="0.4">
      <c r="A2" s="127" t="s">
        <v>20</v>
      </c>
      <c r="B2" s="121" t="s">
        <v>21</v>
      </c>
      <c r="C2" s="121" t="s">
        <v>118</v>
      </c>
      <c r="D2" s="121" t="s">
        <v>375</v>
      </c>
      <c r="E2" s="121" t="s">
        <v>398</v>
      </c>
      <c r="F2" s="121" t="s">
        <v>243</v>
      </c>
      <c r="G2" s="121" t="s">
        <v>50</v>
      </c>
      <c r="H2" s="121" t="s">
        <v>72</v>
      </c>
      <c r="I2" s="121" t="s">
        <v>73</v>
      </c>
      <c r="J2" s="121" t="s">
        <v>112</v>
      </c>
      <c r="K2" s="121" t="s">
        <v>24</v>
      </c>
      <c r="L2" s="121" t="s">
        <v>25</v>
      </c>
      <c r="M2" s="121" t="s">
        <v>25</v>
      </c>
      <c r="N2" s="121" t="s">
        <v>30</v>
      </c>
      <c r="O2" s="122" t="s">
        <v>33</v>
      </c>
    </row>
    <row r="3" spans="1:15" x14ac:dyDescent="0.35">
      <c r="A3" s="61"/>
      <c r="B3" s="164"/>
      <c r="C3" s="164"/>
      <c r="D3" s="164"/>
      <c r="E3" s="164"/>
      <c r="F3" s="164"/>
      <c r="G3" s="164"/>
      <c r="H3" s="164"/>
      <c r="I3" s="164"/>
      <c r="J3" s="100"/>
      <c r="K3" s="100"/>
      <c r="L3" s="164"/>
      <c r="M3" s="100"/>
      <c r="N3" s="100"/>
      <c r="O3" s="70"/>
    </row>
    <row r="4" spans="1:15" s="4" customFormat="1" x14ac:dyDescent="0.35">
      <c r="A4" s="134" t="s">
        <v>0</v>
      </c>
      <c r="B4" s="135" t="s">
        <v>348</v>
      </c>
      <c r="C4" s="158">
        <v>13083455</v>
      </c>
      <c r="D4" s="158">
        <f>+C4</f>
        <v>13083455</v>
      </c>
      <c r="E4" s="158">
        <v>13083455</v>
      </c>
      <c r="F4" s="158">
        <f>E4-D4</f>
        <v>0</v>
      </c>
      <c r="G4" s="158">
        <v>1632371.1985714282</v>
      </c>
      <c r="H4" s="158">
        <v>272061.86</v>
      </c>
      <c r="I4" s="158">
        <f>+C4+H4-G4</f>
        <v>11723145.661428571</v>
      </c>
      <c r="J4" s="137" t="s">
        <v>35</v>
      </c>
      <c r="K4" s="138" t="s">
        <v>27</v>
      </c>
      <c r="L4" s="137" t="s">
        <v>32</v>
      </c>
      <c r="M4" s="138"/>
      <c r="N4" s="138"/>
      <c r="O4" s="139" t="s">
        <v>34</v>
      </c>
    </row>
    <row r="5" spans="1:15" s="4" customFormat="1" x14ac:dyDescent="0.35">
      <c r="A5" s="134" t="s">
        <v>1</v>
      </c>
      <c r="B5" s="135" t="s">
        <v>349</v>
      </c>
      <c r="C5" s="158">
        <v>17401755</v>
      </c>
      <c r="D5" s="158">
        <f>+D4+C5</f>
        <v>30485210</v>
      </c>
      <c r="E5" s="158">
        <v>30485210</v>
      </c>
      <c r="F5" s="158">
        <f t="shared" ref="F5:F42" si="0">E5-D5</f>
        <v>0</v>
      </c>
      <c r="G5" s="158">
        <v>2593960.2953571426</v>
      </c>
      <c r="H5" s="158">
        <v>432326.72</v>
      </c>
      <c r="I5" s="158">
        <f t="shared" ref="I5:I6" si="1">+C5+H5-G5</f>
        <v>15240121.424642857</v>
      </c>
      <c r="J5" s="137" t="s">
        <v>35</v>
      </c>
      <c r="K5" s="138" t="s">
        <v>36</v>
      </c>
      <c r="L5" s="137" t="s">
        <v>32</v>
      </c>
      <c r="M5" s="138"/>
      <c r="N5" s="138"/>
      <c r="O5" s="139" t="s">
        <v>34</v>
      </c>
    </row>
    <row r="6" spans="1:15" s="4" customFormat="1" x14ac:dyDescent="0.35">
      <c r="A6" s="134" t="s">
        <v>2</v>
      </c>
      <c r="B6" s="135" t="s">
        <v>350</v>
      </c>
      <c r="C6" s="158">
        <v>18524974</v>
      </c>
      <c r="D6" s="158">
        <f t="shared" ref="D6:D42" si="2">+D5+C6</f>
        <v>49010184</v>
      </c>
      <c r="E6" s="158">
        <v>49010184</v>
      </c>
      <c r="F6" s="158">
        <f t="shared" si="0"/>
        <v>0</v>
      </c>
      <c r="G6" s="158">
        <v>2311288.0285714283</v>
      </c>
      <c r="H6" s="158">
        <v>385214.6714285714</v>
      </c>
      <c r="I6" s="158">
        <f t="shared" si="1"/>
        <v>16598900.642857144</v>
      </c>
      <c r="J6" s="137" t="s">
        <v>35</v>
      </c>
      <c r="K6" s="138" t="s">
        <v>36</v>
      </c>
      <c r="L6" s="137" t="s">
        <v>32</v>
      </c>
      <c r="M6" s="138"/>
      <c r="N6" s="138"/>
      <c r="O6" s="139" t="s">
        <v>34</v>
      </c>
    </row>
    <row r="7" spans="1:15" s="4" customFormat="1" x14ac:dyDescent="0.35">
      <c r="A7" s="134" t="s">
        <v>3</v>
      </c>
      <c r="B7" s="135" t="s">
        <v>351</v>
      </c>
      <c r="C7" s="158">
        <v>45714424</v>
      </c>
      <c r="D7" s="158">
        <f t="shared" si="2"/>
        <v>94724608</v>
      </c>
      <c r="E7" s="158">
        <v>94724608</v>
      </c>
      <c r="F7" s="158">
        <f t="shared" si="0"/>
        <v>0</v>
      </c>
      <c r="G7" s="158">
        <v>5280796.8267857125</v>
      </c>
      <c r="H7" s="158">
        <v>880132.8</v>
      </c>
      <c r="I7" s="158">
        <f>+C8+H7-G7</f>
        <v>8342236.9732142882</v>
      </c>
      <c r="J7" s="137" t="s">
        <v>35</v>
      </c>
      <c r="K7" s="138" t="s">
        <v>36</v>
      </c>
      <c r="L7" s="137" t="s">
        <v>32</v>
      </c>
      <c r="M7" s="138"/>
      <c r="N7" s="138"/>
      <c r="O7" s="139" t="s">
        <v>34</v>
      </c>
    </row>
    <row r="8" spans="1:15" s="156" customFormat="1" x14ac:dyDescent="0.35">
      <c r="A8" s="185" t="s">
        <v>38</v>
      </c>
      <c r="B8" s="186">
        <v>44223</v>
      </c>
      <c r="C8" s="187">
        <v>12742901</v>
      </c>
      <c r="D8" s="190">
        <f t="shared" si="2"/>
        <v>107467509</v>
      </c>
      <c r="E8" s="190"/>
      <c r="F8" s="190">
        <f t="shared" si="0"/>
        <v>-107467509</v>
      </c>
      <c r="G8" s="190">
        <v>205157.24999999997</v>
      </c>
      <c r="H8" s="187">
        <v>34192.879999999997</v>
      </c>
      <c r="I8" s="187">
        <f>+C10+H8-G8</f>
        <v>108410237.63</v>
      </c>
      <c r="J8" s="153" t="s">
        <v>35</v>
      </c>
      <c r="K8" s="191"/>
      <c r="L8" s="153" t="s">
        <v>32</v>
      </c>
      <c r="M8" s="191"/>
      <c r="N8" s="191"/>
      <c r="O8" s="155" t="s">
        <v>34</v>
      </c>
    </row>
    <row r="9" spans="1:15" s="4" customFormat="1" x14ac:dyDescent="0.35">
      <c r="A9" s="134" t="s">
        <v>4</v>
      </c>
      <c r="B9" s="135" t="s">
        <v>352</v>
      </c>
      <c r="C9" s="158">
        <v>45410605</v>
      </c>
      <c r="D9" s="158">
        <f t="shared" si="2"/>
        <v>152878114</v>
      </c>
      <c r="E9" s="158">
        <v>140135213</v>
      </c>
      <c r="F9" s="158">
        <f t="shared" si="0"/>
        <v>-12742901</v>
      </c>
      <c r="G9" s="158">
        <v>5665702.2857142845</v>
      </c>
      <c r="H9" s="158">
        <v>944283.7142857142</v>
      </c>
      <c r="I9" s="158">
        <f>+C7+H9-G9</f>
        <v>40993005.428571433</v>
      </c>
      <c r="J9" s="137" t="s">
        <v>35</v>
      </c>
      <c r="K9" s="138" t="s">
        <v>36</v>
      </c>
      <c r="L9" s="137" t="s">
        <v>32</v>
      </c>
      <c r="M9" s="138"/>
      <c r="N9" s="138"/>
      <c r="O9" s="139" t="s">
        <v>34</v>
      </c>
    </row>
    <row r="10" spans="1:15" s="4" customFormat="1" x14ac:dyDescent="0.35">
      <c r="A10" s="134" t="s">
        <v>5</v>
      </c>
      <c r="B10" s="135" t="s">
        <v>257</v>
      </c>
      <c r="C10" s="158">
        <v>108581202</v>
      </c>
      <c r="D10" s="158">
        <f t="shared" si="2"/>
        <v>261459316</v>
      </c>
      <c r="E10" s="158">
        <v>248716415</v>
      </c>
      <c r="F10" s="158">
        <f t="shared" si="0"/>
        <v>-12742901</v>
      </c>
      <c r="G10" s="158">
        <v>13547249.142857142</v>
      </c>
      <c r="H10" s="158">
        <v>2257874.86</v>
      </c>
      <c r="I10" s="158">
        <f>+C9+H10-G10</f>
        <v>34121230.717142858</v>
      </c>
      <c r="J10" s="137" t="s">
        <v>35</v>
      </c>
      <c r="K10" s="138" t="s">
        <v>36</v>
      </c>
      <c r="L10" s="137" t="s">
        <v>32</v>
      </c>
      <c r="M10" s="138"/>
      <c r="N10" s="138"/>
      <c r="O10" s="139" t="s">
        <v>34</v>
      </c>
    </row>
    <row r="11" spans="1:15" s="4" customFormat="1" x14ac:dyDescent="0.35">
      <c r="A11" s="134" t="s">
        <v>6</v>
      </c>
      <c r="B11" s="135" t="s">
        <v>353</v>
      </c>
      <c r="C11" s="158">
        <v>38203849</v>
      </c>
      <c r="D11" s="158">
        <f t="shared" si="2"/>
        <v>299663165</v>
      </c>
      <c r="E11" s="158">
        <v>299663165</v>
      </c>
      <c r="F11" s="158">
        <f t="shared" si="0"/>
        <v>0</v>
      </c>
      <c r="G11" s="158">
        <v>4791452.5821428569</v>
      </c>
      <c r="H11" s="158">
        <v>798575.44</v>
      </c>
      <c r="I11" s="158">
        <f t="shared" ref="I11:I35" si="3">+C11+H11-G11</f>
        <v>34210971.857857138</v>
      </c>
      <c r="J11" s="137" t="s">
        <v>35</v>
      </c>
      <c r="K11" s="138" t="s">
        <v>37</v>
      </c>
      <c r="L11" s="137" t="s">
        <v>32</v>
      </c>
      <c r="M11" s="138"/>
      <c r="N11" s="138"/>
      <c r="O11" s="139" t="s">
        <v>34</v>
      </c>
    </row>
    <row r="12" spans="1:15" s="4" customFormat="1" x14ac:dyDescent="0.35">
      <c r="A12" s="134" t="s">
        <v>7</v>
      </c>
      <c r="B12" s="135" t="s">
        <v>354</v>
      </c>
      <c r="C12" s="158">
        <v>131134959</v>
      </c>
      <c r="D12" s="158">
        <f t="shared" si="2"/>
        <v>430798124</v>
      </c>
      <c r="E12" s="158">
        <v>430798124</v>
      </c>
      <c r="F12" s="158">
        <f t="shared" si="0"/>
        <v>0</v>
      </c>
      <c r="G12" s="158">
        <v>16446692.168571427</v>
      </c>
      <c r="H12" s="158">
        <v>2741115.36</v>
      </c>
      <c r="I12" s="158">
        <f t="shared" si="3"/>
        <v>117429382.19142857</v>
      </c>
      <c r="J12" s="137" t="s">
        <v>35</v>
      </c>
      <c r="K12" s="138" t="s">
        <v>37</v>
      </c>
      <c r="L12" s="137" t="s">
        <v>32</v>
      </c>
      <c r="M12" s="138"/>
      <c r="N12" s="138"/>
      <c r="O12" s="139" t="s">
        <v>34</v>
      </c>
    </row>
    <row r="13" spans="1:15" s="156" customFormat="1" x14ac:dyDescent="0.35">
      <c r="A13" s="185" t="s">
        <v>44</v>
      </c>
      <c r="B13" s="186">
        <v>44477</v>
      </c>
      <c r="C13" s="187">
        <v>19823860</v>
      </c>
      <c r="D13" s="190">
        <f t="shared" si="2"/>
        <v>450621984</v>
      </c>
      <c r="E13" s="190"/>
      <c r="F13" s="190">
        <f t="shared" si="0"/>
        <v>-450621984</v>
      </c>
      <c r="G13" s="190">
        <v>695221.17857142852</v>
      </c>
      <c r="H13" s="187">
        <v>115870.2</v>
      </c>
      <c r="I13" s="187">
        <f t="shared" si="3"/>
        <v>19244509.02142857</v>
      </c>
      <c r="J13" s="192" t="s">
        <v>35</v>
      </c>
      <c r="K13" s="191"/>
      <c r="L13" s="192" t="s">
        <v>32</v>
      </c>
      <c r="M13" s="191"/>
      <c r="N13" s="191"/>
      <c r="O13" s="155" t="s">
        <v>34</v>
      </c>
    </row>
    <row r="14" spans="1:15" s="4" customFormat="1" x14ac:dyDescent="0.35">
      <c r="A14" s="134" t="s">
        <v>355</v>
      </c>
      <c r="B14" s="135" t="s">
        <v>356</v>
      </c>
      <c r="C14" s="158">
        <v>47963414</v>
      </c>
      <c r="D14" s="158">
        <f t="shared" si="2"/>
        <v>498585398</v>
      </c>
      <c r="E14" s="158">
        <v>498585398</v>
      </c>
      <c r="F14" s="158">
        <f t="shared" si="0"/>
        <v>0</v>
      </c>
      <c r="G14" s="158">
        <v>4235940.7864285707</v>
      </c>
      <c r="H14" s="158">
        <v>705990.13</v>
      </c>
      <c r="I14" s="158">
        <f t="shared" si="3"/>
        <v>44433463.343571432</v>
      </c>
      <c r="J14" s="137" t="s">
        <v>35</v>
      </c>
      <c r="K14" s="138" t="s">
        <v>37</v>
      </c>
      <c r="L14" s="137" t="s">
        <v>32</v>
      </c>
      <c r="M14" s="138"/>
      <c r="N14" s="138"/>
      <c r="O14" s="139" t="s">
        <v>34</v>
      </c>
    </row>
    <row r="15" spans="1:15" s="4" customFormat="1" x14ac:dyDescent="0.35">
      <c r="A15" s="134" t="s">
        <v>357</v>
      </c>
      <c r="B15" s="135" t="s">
        <v>358</v>
      </c>
      <c r="C15" s="158">
        <v>49666479</v>
      </c>
      <c r="D15" s="158">
        <f t="shared" si="2"/>
        <v>548251877</v>
      </c>
      <c r="E15" s="158">
        <v>548251877</v>
      </c>
      <c r="F15" s="158">
        <f t="shared" si="0"/>
        <v>0</v>
      </c>
      <c r="G15" s="158">
        <v>5878671.9149999991</v>
      </c>
      <c r="H15" s="158">
        <v>979778.65</v>
      </c>
      <c r="I15" s="158">
        <f t="shared" si="3"/>
        <v>44767585.734999999</v>
      </c>
      <c r="J15" s="137" t="s">
        <v>35</v>
      </c>
      <c r="K15" s="138" t="s">
        <v>43</v>
      </c>
      <c r="L15" s="137" t="s">
        <v>32</v>
      </c>
      <c r="M15" s="138"/>
      <c r="N15" s="138"/>
      <c r="O15" s="139" t="s">
        <v>34</v>
      </c>
    </row>
    <row r="16" spans="1:15" s="4" customFormat="1" x14ac:dyDescent="0.35">
      <c r="A16" s="134" t="s">
        <v>359</v>
      </c>
      <c r="B16" s="135" t="s">
        <v>360</v>
      </c>
      <c r="C16" s="178">
        <v>113084523</v>
      </c>
      <c r="D16" s="158">
        <f t="shared" si="2"/>
        <v>661336400</v>
      </c>
      <c r="E16" s="158">
        <v>661336400</v>
      </c>
      <c r="F16" s="158">
        <f t="shared" si="0"/>
        <v>0</v>
      </c>
      <c r="G16" s="158">
        <v>12532580.452499997</v>
      </c>
      <c r="H16" s="158">
        <v>2088763.41</v>
      </c>
      <c r="I16" s="158">
        <f t="shared" si="3"/>
        <v>102640705.9575</v>
      </c>
      <c r="J16" s="137" t="s">
        <v>35</v>
      </c>
      <c r="K16" s="138" t="s">
        <v>37</v>
      </c>
      <c r="L16" s="137" t="s">
        <v>32</v>
      </c>
      <c r="M16" s="138"/>
      <c r="N16" s="138" t="s">
        <v>37</v>
      </c>
      <c r="O16" s="139" t="s">
        <v>34</v>
      </c>
    </row>
    <row r="17" spans="1:15" s="156" customFormat="1" x14ac:dyDescent="0.35">
      <c r="A17" s="185" t="s">
        <v>53</v>
      </c>
      <c r="B17" s="186">
        <v>44594</v>
      </c>
      <c r="C17" s="187">
        <v>23136816.219999999</v>
      </c>
      <c r="D17" s="190">
        <f t="shared" si="2"/>
        <v>684473216.22000003</v>
      </c>
      <c r="E17" s="190"/>
      <c r="F17" s="190">
        <f t="shared" si="0"/>
        <v>-684473216.22000003</v>
      </c>
      <c r="G17" s="190">
        <v>1349336.8928571427</v>
      </c>
      <c r="H17" s="187">
        <v>224889.48</v>
      </c>
      <c r="I17" s="187">
        <f t="shared" si="3"/>
        <v>22012368.807142857</v>
      </c>
      <c r="J17" s="153" t="s">
        <v>35</v>
      </c>
      <c r="K17" s="191" t="s">
        <v>43</v>
      </c>
      <c r="L17" s="153" t="s">
        <v>32</v>
      </c>
      <c r="M17" s="191"/>
      <c r="N17" s="191"/>
      <c r="O17" s="155" t="s">
        <v>34</v>
      </c>
    </row>
    <row r="18" spans="1:15" s="4" customFormat="1" x14ac:dyDescent="0.35">
      <c r="A18" s="134" t="s">
        <v>11</v>
      </c>
      <c r="B18" s="135" t="s">
        <v>361</v>
      </c>
      <c r="C18" s="158">
        <v>92354951.299999997</v>
      </c>
      <c r="D18" s="158">
        <f t="shared" si="2"/>
        <v>776828167.51999998</v>
      </c>
      <c r="E18" s="158">
        <v>775296511</v>
      </c>
      <c r="F18" s="158">
        <f t="shared" si="0"/>
        <v>-1531656.5199999809</v>
      </c>
      <c r="G18" s="158">
        <v>12551099.428928569</v>
      </c>
      <c r="H18" s="158">
        <v>2091849.9</v>
      </c>
      <c r="I18" s="158">
        <f t="shared" si="3"/>
        <v>81895701.771071434</v>
      </c>
      <c r="J18" s="137" t="s">
        <v>35</v>
      </c>
      <c r="K18" s="138" t="s">
        <v>43</v>
      </c>
      <c r="L18" s="137" t="s">
        <v>32</v>
      </c>
      <c r="M18" s="138"/>
      <c r="N18" s="138"/>
      <c r="O18" s="139" t="s">
        <v>34</v>
      </c>
    </row>
    <row r="19" spans="1:15" s="4" customFormat="1" x14ac:dyDescent="0.35">
      <c r="A19" s="134" t="s">
        <v>362</v>
      </c>
      <c r="B19" s="135" t="s">
        <v>363</v>
      </c>
      <c r="C19" s="158">
        <v>134244464.06</v>
      </c>
      <c r="D19" s="158">
        <f t="shared" si="2"/>
        <v>911072631.57999992</v>
      </c>
      <c r="E19" s="158">
        <v>909540975</v>
      </c>
      <c r="F19" s="158">
        <f t="shared" si="0"/>
        <v>-1531656.5799999237</v>
      </c>
      <c r="G19" s="158">
        <v>16698046.629642855</v>
      </c>
      <c r="H19" s="158">
        <v>2783007.77</v>
      </c>
      <c r="I19" s="158">
        <f t="shared" si="3"/>
        <v>120329425.20035715</v>
      </c>
      <c r="J19" s="137" t="s">
        <v>35</v>
      </c>
      <c r="K19" s="138" t="s">
        <v>43</v>
      </c>
      <c r="L19" s="137" t="s">
        <v>32</v>
      </c>
      <c r="M19" s="138"/>
      <c r="N19" s="138"/>
      <c r="O19" s="139" t="s">
        <v>34</v>
      </c>
    </row>
    <row r="20" spans="1:15" s="156" customFormat="1" x14ac:dyDescent="0.35">
      <c r="A20" s="185" t="s">
        <v>63</v>
      </c>
      <c r="B20" s="186">
        <v>44651</v>
      </c>
      <c r="C20" s="187">
        <v>34631117.609999999</v>
      </c>
      <c r="D20" s="190">
        <f t="shared" si="2"/>
        <v>945703749.18999994</v>
      </c>
      <c r="E20" s="190"/>
      <c r="F20" s="190">
        <f t="shared" si="0"/>
        <v>-945703749.18999994</v>
      </c>
      <c r="G20" s="190">
        <v>2138429.0357142854</v>
      </c>
      <c r="H20" s="187">
        <v>356404.84</v>
      </c>
      <c r="I20" s="187">
        <f t="shared" si="3"/>
        <v>32849093.414285719</v>
      </c>
      <c r="J20" s="153" t="s">
        <v>35</v>
      </c>
      <c r="K20" s="191" t="s">
        <v>43</v>
      </c>
      <c r="L20" s="153" t="s">
        <v>32</v>
      </c>
      <c r="M20" s="191"/>
      <c r="N20" s="191"/>
      <c r="O20" s="155" t="s">
        <v>34</v>
      </c>
    </row>
    <row r="21" spans="1:15" s="4" customFormat="1" x14ac:dyDescent="0.35">
      <c r="A21" s="134" t="s">
        <v>13</v>
      </c>
      <c r="B21" s="135" t="s">
        <v>364</v>
      </c>
      <c r="C21" s="158">
        <v>82120414</v>
      </c>
      <c r="D21" s="158">
        <f t="shared" si="2"/>
        <v>1027824163.1899999</v>
      </c>
      <c r="E21" s="158">
        <v>1026292507</v>
      </c>
      <c r="F21" s="158">
        <f t="shared" si="0"/>
        <v>-1531656.189999938</v>
      </c>
      <c r="G21" s="158">
        <v>10961917.387499999</v>
      </c>
      <c r="H21" s="158">
        <v>1826986.23</v>
      </c>
      <c r="I21" s="158">
        <f t="shared" si="3"/>
        <v>72985482.842500001</v>
      </c>
      <c r="J21" s="137" t="s">
        <v>35</v>
      </c>
      <c r="K21" s="138" t="s">
        <v>43</v>
      </c>
      <c r="L21" s="137" t="s">
        <v>32</v>
      </c>
      <c r="M21" s="138"/>
      <c r="N21" s="138"/>
      <c r="O21" s="139" t="s">
        <v>34</v>
      </c>
    </row>
    <row r="22" spans="1:15" s="4" customFormat="1" x14ac:dyDescent="0.35">
      <c r="A22" s="134" t="s">
        <v>68</v>
      </c>
      <c r="B22" s="135" t="s">
        <v>365</v>
      </c>
      <c r="C22" s="158">
        <v>94944784</v>
      </c>
      <c r="D22" s="158">
        <f t="shared" si="2"/>
        <v>1122768947.1900001</v>
      </c>
      <c r="E22" s="158">
        <v>1121237291</v>
      </c>
      <c r="F22" s="158">
        <f t="shared" si="0"/>
        <v>-1531656.1900000572</v>
      </c>
      <c r="G22" s="158">
        <v>11104305.413571429</v>
      </c>
      <c r="H22" s="158">
        <v>1850717.57</v>
      </c>
      <c r="I22" s="158">
        <f t="shared" si="3"/>
        <v>85691196.156428561</v>
      </c>
      <c r="J22" s="137" t="s">
        <v>35</v>
      </c>
      <c r="K22" s="138" t="s">
        <v>43</v>
      </c>
      <c r="L22" s="137" t="s">
        <v>172</v>
      </c>
      <c r="M22" s="138"/>
      <c r="N22" s="138"/>
      <c r="O22" s="139" t="s">
        <v>34</v>
      </c>
    </row>
    <row r="23" spans="1:15" s="156" customFormat="1" x14ac:dyDescent="0.35">
      <c r="A23" s="185" t="s">
        <v>69</v>
      </c>
      <c r="B23" s="186"/>
      <c r="C23" s="187">
        <v>20065446</v>
      </c>
      <c r="D23" s="190">
        <f t="shared" si="2"/>
        <v>1142834393.1900001</v>
      </c>
      <c r="E23" s="190"/>
      <c r="F23" s="190">
        <f t="shared" si="0"/>
        <v>-1142834393.1900001</v>
      </c>
      <c r="G23" s="190">
        <v>1244868.107142857</v>
      </c>
      <c r="H23" s="187">
        <v>207478.02</v>
      </c>
      <c r="I23" s="187">
        <f t="shared" si="3"/>
        <v>19028055.912857141</v>
      </c>
      <c r="J23" s="153" t="s">
        <v>35</v>
      </c>
      <c r="K23" s="191" t="s">
        <v>43</v>
      </c>
      <c r="L23" s="153" t="s">
        <v>172</v>
      </c>
      <c r="M23" s="191"/>
      <c r="N23" s="191"/>
      <c r="O23" s="155" t="s">
        <v>34</v>
      </c>
    </row>
    <row r="24" spans="1:15" s="4" customFormat="1" x14ac:dyDescent="0.35">
      <c r="A24" s="134" t="s">
        <v>15</v>
      </c>
      <c r="B24" s="135" t="s">
        <v>366</v>
      </c>
      <c r="C24" s="158">
        <v>45252062</v>
      </c>
      <c r="D24" s="158">
        <f t="shared" si="2"/>
        <v>1188086455.1900001</v>
      </c>
      <c r="E24" s="158">
        <v>1186554799</v>
      </c>
      <c r="F24" s="158">
        <f t="shared" si="0"/>
        <v>-1531656.1900000572</v>
      </c>
      <c r="G24" s="158">
        <v>6332977.5546428561</v>
      </c>
      <c r="H24" s="158">
        <v>1055496.26</v>
      </c>
      <c r="I24" s="158">
        <f t="shared" si="3"/>
        <v>39974580.705357142</v>
      </c>
      <c r="J24" s="137" t="s">
        <v>35</v>
      </c>
      <c r="K24" s="138" t="s">
        <v>43</v>
      </c>
      <c r="L24" s="137" t="s">
        <v>172</v>
      </c>
      <c r="M24" s="138"/>
      <c r="N24" s="138"/>
      <c r="O24" s="139" t="s">
        <v>34</v>
      </c>
    </row>
    <row r="25" spans="1:15" s="4" customFormat="1" x14ac:dyDescent="0.35">
      <c r="A25" s="134" t="s">
        <v>70</v>
      </c>
      <c r="B25" s="135" t="s">
        <v>372</v>
      </c>
      <c r="C25" s="158">
        <v>33684023</v>
      </c>
      <c r="D25" s="158">
        <f t="shared" si="2"/>
        <v>1221770478.1900001</v>
      </c>
      <c r="E25" s="158">
        <v>1220238822</v>
      </c>
      <c r="F25" s="158">
        <f t="shared" si="0"/>
        <v>-1531656.1900000572</v>
      </c>
      <c r="G25" s="158">
        <v>882732.9642857142</v>
      </c>
      <c r="H25" s="158">
        <v>147122.16</v>
      </c>
      <c r="I25" s="158">
        <f t="shared" si="3"/>
        <v>32948412.195714284</v>
      </c>
      <c r="J25" s="137" t="s">
        <v>35</v>
      </c>
      <c r="K25" s="138" t="s">
        <v>43</v>
      </c>
      <c r="L25" s="137" t="s">
        <v>172</v>
      </c>
      <c r="M25" s="138"/>
      <c r="N25" s="138"/>
      <c r="O25" s="139" t="s">
        <v>34</v>
      </c>
    </row>
    <row r="26" spans="1:15" s="4" customFormat="1" x14ac:dyDescent="0.35">
      <c r="A26" s="134" t="s">
        <v>16</v>
      </c>
      <c r="B26" s="135" t="s">
        <v>274</v>
      </c>
      <c r="C26" s="158">
        <v>14863131</v>
      </c>
      <c r="D26" s="158">
        <f t="shared" si="2"/>
        <v>1236633609.1900001</v>
      </c>
      <c r="E26" s="158">
        <v>1235101953</v>
      </c>
      <c r="F26" s="158">
        <f t="shared" si="0"/>
        <v>-1531656.1900000572</v>
      </c>
      <c r="G26" s="158">
        <v>1957375.6157142853</v>
      </c>
      <c r="H26" s="158">
        <v>326229.27</v>
      </c>
      <c r="I26" s="158">
        <f t="shared" si="3"/>
        <v>13231984.654285714</v>
      </c>
      <c r="J26" s="137" t="s">
        <v>35</v>
      </c>
      <c r="K26" s="138" t="s">
        <v>43</v>
      </c>
      <c r="L26" s="137" t="s">
        <v>172</v>
      </c>
      <c r="M26" s="138"/>
      <c r="N26" s="138"/>
      <c r="O26" s="139" t="s">
        <v>34</v>
      </c>
    </row>
    <row r="27" spans="1:15" s="4" customFormat="1" x14ac:dyDescent="0.35">
      <c r="A27" s="134" t="s">
        <v>71</v>
      </c>
      <c r="B27" s="135" t="s">
        <v>373</v>
      </c>
      <c r="C27" s="158">
        <v>5080045</v>
      </c>
      <c r="D27" s="158">
        <f t="shared" si="2"/>
        <v>1241713654.1900001</v>
      </c>
      <c r="E27" s="158">
        <v>1240181998</v>
      </c>
      <c r="F27" s="158">
        <f t="shared" si="0"/>
        <v>-1531656.1900000572</v>
      </c>
      <c r="G27" s="158">
        <v>365250.1071428571</v>
      </c>
      <c r="H27" s="158">
        <v>60875.02</v>
      </c>
      <c r="I27" s="158">
        <f t="shared" si="3"/>
        <v>4775669.9128571423</v>
      </c>
      <c r="J27" s="137" t="s">
        <v>35</v>
      </c>
      <c r="K27" s="138" t="s">
        <v>43</v>
      </c>
      <c r="L27" s="137" t="s">
        <v>172</v>
      </c>
      <c r="M27" s="138"/>
      <c r="N27" s="138"/>
      <c r="O27" s="139" t="s">
        <v>34</v>
      </c>
    </row>
    <row r="28" spans="1:15" s="4" customFormat="1" x14ac:dyDescent="0.35">
      <c r="A28" s="134" t="s">
        <v>17</v>
      </c>
      <c r="B28" s="135" t="s">
        <v>275</v>
      </c>
      <c r="C28" s="158">
        <v>20541502</v>
      </c>
      <c r="D28" s="158">
        <f t="shared" si="2"/>
        <v>1262255156.1900001</v>
      </c>
      <c r="E28" s="158">
        <v>1260723500</v>
      </c>
      <c r="F28" s="158">
        <f t="shared" si="0"/>
        <v>-1531656.1900000572</v>
      </c>
      <c r="G28" s="158">
        <v>2759738.0667857141</v>
      </c>
      <c r="H28" s="158">
        <v>459956</v>
      </c>
      <c r="I28" s="158">
        <f>+C28+H28-G28</f>
        <v>18241719.933214284</v>
      </c>
      <c r="J28" s="137" t="s">
        <v>35</v>
      </c>
      <c r="K28" s="138" t="s">
        <v>43</v>
      </c>
      <c r="L28" s="137" t="s">
        <v>172</v>
      </c>
      <c r="M28" s="138"/>
      <c r="N28" s="138"/>
      <c r="O28" s="139" t="s">
        <v>34</v>
      </c>
    </row>
    <row r="29" spans="1:15" s="156" customFormat="1" x14ac:dyDescent="0.35">
      <c r="A29" s="185" t="s">
        <v>41</v>
      </c>
      <c r="B29" s="186">
        <v>44825</v>
      </c>
      <c r="C29" s="187">
        <v>8201328</v>
      </c>
      <c r="D29" s="190">
        <f t="shared" si="2"/>
        <v>1270456484.1900001</v>
      </c>
      <c r="E29" s="190"/>
      <c r="F29" s="190">
        <f t="shared" si="0"/>
        <v>-1270456484.1900001</v>
      </c>
      <c r="G29" s="190">
        <v>631613.67857142852</v>
      </c>
      <c r="H29" s="187">
        <v>105268.95</v>
      </c>
      <c r="I29" s="187">
        <f t="shared" si="3"/>
        <v>7674983.271428572</v>
      </c>
      <c r="J29" s="153" t="s">
        <v>35</v>
      </c>
      <c r="K29" s="191" t="s">
        <v>43</v>
      </c>
      <c r="L29" s="153"/>
      <c r="M29" s="191"/>
      <c r="N29" s="191"/>
      <c r="O29" s="155" t="s">
        <v>34</v>
      </c>
    </row>
    <row r="30" spans="1:15" s="4" customFormat="1" x14ac:dyDescent="0.35">
      <c r="A30" s="134" t="s">
        <v>18</v>
      </c>
      <c r="B30" s="135" t="s">
        <v>367</v>
      </c>
      <c r="C30" s="158">
        <v>16493634</v>
      </c>
      <c r="D30" s="158">
        <f t="shared" si="2"/>
        <v>1286950118.1900001</v>
      </c>
      <c r="E30" s="158">
        <v>1285418462</v>
      </c>
      <c r="F30" s="158">
        <f t="shared" si="0"/>
        <v>-1531656.1900000572</v>
      </c>
      <c r="G30" s="158">
        <v>3090456.1092857136</v>
      </c>
      <c r="H30" s="158">
        <v>343384.01</v>
      </c>
      <c r="I30" s="158">
        <f t="shared" si="3"/>
        <v>13746561.900714288</v>
      </c>
      <c r="J30" s="137" t="s">
        <v>35</v>
      </c>
      <c r="K30" s="138" t="s">
        <v>43</v>
      </c>
      <c r="L30" s="137" t="s">
        <v>173</v>
      </c>
      <c r="M30" s="138"/>
      <c r="N30" s="138"/>
      <c r="O30" s="139" t="s">
        <v>34</v>
      </c>
    </row>
    <row r="31" spans="1:15" s="156" customFormat="1" x14ac:dyDescent="0.35">
      <c r="A31" s="185" t="s">
        <v>42</v>
      </c>
      <c r="B31" s="186"/>
      <c r="C31" s="187">
        <v>6431448</v>
      </c>
      <c r="D31" s="190">
        <f t="shared" si="2"/>
        <v>1293381566.1900001</v>
      </c>
      <c r="E31" s="190"/>
      <c r="F31" s="190">
        <f t="shared" si="0"/>
        <v>-1293381566.1900001</v>
      </c>
      <c r="G31" s="190">
        <v>702877.82142857136</v>
      </c>
      <c r="H31" s="187">
        <v>78097.539999999994</v>
      </c>
      <c r="I31" s="187">
        <f t="shared" si="3"/>
        <v>5806667.7185714282</v>
      </c>
      <c r="J31" s="153" t="s">
        <v>35</v>
      </c>
      <c r="K31" s="191" t="s">
        <v>43</v>
      </c>
      <c r="L31" s="153" t="s">
        <v>173</v>
      </c>
      <c r="M31" s="191"/>
      <c r="N31" s="191"/>
      <c r="O31" s="155" t="s">
        <v>34</v>
      </c>
    </row>
    <row r="32" spans="1:15" s="4" customFormat="1" x14ac:dyDescent="0.35">
      <c r="A32" s="134" t="s">
        <v>19</v>
      </c>
      <c r="B32" s="135" t="s">
        <v>232</v>
      </c>
      <c r="C32" s="158">
        <v>16125297</v>
      </c>
      <c r="D32" s="158">
        <f t="shared" si="2"/>
        <v>1309506863.1900001</v>
      </c>
      <c r="E32" s="158">
        <v>1307975207</v>
      </c>
      <c r="F32" s="158">
        <f t="shared" si="0"/>
        <v>-1531656.1900000572</v>
      </c>
      <c r="G32" s="158">
        <v>2873246.2633928568</v>
      </c>
      <c r="H32" s="158">
        <v>319249.58</v>
      </c>
      <c r="I32" s="158">
        <f t="shared" si="3"/>
        <v>13571300.316607144</v>
      </c>
      <c r="J32" s="137" t="s">
        <v>35</v>
      </c>
      <c r="K32" s="138" t="s">
        <v>43</v>
      </c>
      <c r="L32" s="137" t="s">
        <v>173</v>
      </c>
      <c r="M32" s="138"/>
      <c r="N32" s="138"/>
      <c r="O32" s="139" t="s">
        <v>34</v>
      </c>
    </row>
    <row r="33" spans="1:15" s="156" customFormat="1" x14ac:dyDescent="0.35">
      <c r="A33" s="185" t="s">
        <v>54</v>
      </c>
      <c r="B33" s="186"/>
      <c r="C33" s="187">
        <v>16391308</v>
      </c>
      <c r="D33" s="190">
        <f t="shared" si="2"/>
        <v>1325898171.1900001</v>
      </c>
      <c r="E33" s="190"/>
      <c r="F33" s="190">
        <f t="shared" si="0"/>
        <v>-1325898171.1900001</v>
      </c>
      <c r="G33" s="190">
        <v>649937.73214285704</v>
      </c>
      <c r="H33" s="187">
        <v>72215.3</v>
      </c>
      <c r="I33" s="187">
        <f t="shared" si="3"/>
        <v>15813585.567857144</v>
      </c>
      <c r="J33" s="153" t="s">
        <v>35</v>
      </c>
      <c r="K33" s="191" t="s">
        <v>43</v>
      </c>
      <c r="L33" s="153" t="s">
        <v>173</v>
      </c>
      <c r="M33" s="191"/>
      <c r="N33" s="191"/>
      <c r="O33" s="155" t="s">
        <v>34</v>
      </c>
    </row>
    <row r="34" spans="1:15" s="4" customFormat="1" x14ac:dyDescent="0.35">
      <c r="A34" s="134" t="s">
        <v>55</v>
      </c>
      <c r="B34" s="135" t="s">
        <v>233</v>
      </c>
      <c r="C34" s="158">
        <v>33023193</v>
      </c>
      <c r="D34" s="158">
        <f t="shared" si="2"/>
        <v>1358921364.1900001</v>
      </c>
      <c r="E34" s="158">
        <v>1357389708</v>
      </c>
      <c r="F34" s="158">
        <f t="shared" si="0"/>
        <v>-1531656.1900000572</v>
      </c>
      <c r="G34" s="158">
        <v>6842459.4900000002</v>
      </c>
      <c r="H34" s="158">
        <v>760273.28</v>
      </c>
      <c r="I34" s="158">
        <f t="shared" si="3"/>
        <v>26941006.789999999</v>
      </c>
      <c r="J34" s="137" t="s">
        <v>35</v>
      </c>
      <c r="K34" s="138" t="s">
        <v>43</v>
      </c>
      <c r="L34" s="137" t="s">
        <v>173</v>
      </c>
      <c r="M34" s="138"/>
      <c r="N34" s="138"/>
      <c r="O34" s="139" t="s">
        <v>34</v>
      </c>
    </row>
    <row r="35" spans="1:15" s="156" customFormat="1" x14ac:dyDescent="0.35">
      <c r="A35" s="185" t="s">
        <v>56</v>
      </c>
      <c r="B35" s="186">
        <v>44921</v>
      </c>
      <c r="C35" s="187">
        <v>14198182</v>
      </c>
      <c r="D35" s="190">
        <f t="shared" si="2"/>
        <v>1373119546.1900001</v>
      </c>
      <c r="E35" s="190"/>
      <c r="F35" s="190">
        <f t="shared" si="0"/>
        <v>-1373119546.1900001</v>
      </c>
      <c r="G35" s="190">
        <v>1549603.4453999999</v>
      </c>
      <c r="H35" s="187">
        <v>172178.1606</v>
      </c>
      <c r="I35" s="187">
        <f t="shared" si="3"/>
        <v>12820756.7152</v>
      </c>
      <c r="J35" s="153" t="s">
        <v>35</v>
      </c>
      <c r="K35" s="191" t="s">
        <v>43</v>
      </c>
      <c r="L35" s="153" t="s">
        <v>173</v>
      </c>
      <c r="M35" s="191"/>
      <c r="N35" s="191"/>
      <c r="O35" s="155" t="s">
        <v>34</v>
      </c>
    </row>
    <row r="36" spans="1:15" s="4" customFormat="1" x14ac:dyDescent="0.35">
      <c r="A36" s="134" t="s">
        <v>57</v>
      </c>
      <c r="B36" s="135" t="s">
        <v>368</v>
      </c>
      <c r="C36" s="158">
        <v>21081799</v>
      </c>
      <c r="D36" s="158">
        <f t="shared" si="2"/>
        <v>1394201345.1900001</v>
      </c>
      <c r="E36" s="158">
        <v>1394529207</v>
      </c>
      <c r="F36" s="158">
        <f t="shared" si="0"/>
        <v>327861.80999994278</v>
      </c>
      <c r="G36" s="158">
        <v>4232873.6765999999</v>
      </c>
      <c r="H36" s="158">
        <v>470319.29740000004</v>
      </c>
      <c r="I36" s="158">
        <f t="shared" ref="I36:I42" si="4">+C36+H36-G36</f>
        <v>17319244.620800003</v>
      </c>
      <c r="J36" s="137" t="s">
        <v>35</v>
      </c>
      <c r="K36" s="138" t="s">
        <v>43</v>
      </c>
      <c r="L36" s="137" t="s">
        <v>173</v>
      </c>
      <c r="M36" s="138"/>
      <c r="N36" s="138"/>
      <c r="O36" s="139" t="s">
        <v>34</v>
      </c>
    </row>
    <row r="37" spans="1:15" s="156" customFormat="1" x14ac:dyDescent="0.35">
      <c r="A37" s="185" t="s">
        <v>87</v>
      </c>
      <c r="B37" s="186">
        <v>44951</v>
      </c>
      <c r="C37" s="187">
        <v>34505167</v>
      </c>
      <c r="D37" s="190">
        <f t="shared" si="2"/>
        <v>1428706512.1900001</v>
      </c>
      <c r="E37" s="190"/>
      <c r="F37" s="190">
        <f t="shared" si="0"/>
        <v>-1428706512.1900001</v>
      </c>
      <c r="G37" s="190">
        <v>1868443.0703999999</v>
      </c>
      <c r="H37" s="187">
        <v>207604.7856</v>
      </c>
      <c r="I37" s="187">
        <f t="shared" si="4"/>
        <v>32844328.7152</v>
      </c>
      <c r="J37" s="153" t="s">
        <v>35</v>
      </c>
      <c r="K37" s="191" t="s">
        <v>43</v>
      </c>
      <c r="L37" s="153" t="s">
        <v>173</v>
      </c>
      <c r="M37" s="191"/>
      <c r="N37" s="191"/>
      <c r="O37" s="155" t="s">
        <v>34</v>
      </c>
    </row>
    <row r="38" spans="1:15" s="4" customFormat="1" x14ac:dyDescent="0.35">
      <c r="A38" s="134" t="s">
        <v>88</v>
      </c>
      <c r="B38" s="135" t="s">
        <v>369</v>
      </c>
      <c r="C38" s="158">
        <v>10183363</v>
      </c>
      <c r="D38" s="158">
        <f t="shared" si="2"/>
        <v>1438889875.1900001</v>
      </c>
      <c r="E38" s="158">
        <v>1439217737</v>
      </c>
      <c r="F38" s="158">
        <f t="shared" si="0"/>
        <v>327861.80999994278</v>
      </c>
      <c r="G38" s="158">
        <v>1974349.0691999998</v>
      </c>
      <c r="H38" s="158">
        <v>219372.1188</v>
      </c>
      <c r="I38" s="158">
        <f t="shared" si="4"/>
        <v>8428386.0495999996</v>
      </c>
      <c r="J38" s="137" t="s">
        <v>35</v>
      </c>
      <c r="K38" s="138" t="s">
        <v>43</v>
      </c>
      <c r="L38" s="137" t="s">
        <v>173</v>
      </c>
      <c r="M38" s="138"/>
      <c r="N38" s="138"/>
      <c r="O38" s="139" t="s">
        <v>34</v>
      </c>
    </row>
    <row r="39" spans="1:15" s="156" customFormat="1" x14ac:dyDescent="0.35">
      <c r="A39" s="185" t="s">
        <v>89</v>
      </c>
      <c r="B39" s="186">
        <v>44985</v>
      </c>
      <c r="C39" s="187">
        <v>4195007</v>
      </c>
      <c r="D39" s="190">
        <f t="shared" si="2"/>
        <v>1443084882.1900001</v>
      </c>
      <c r="E39" s="190"/>
      <c r="F39" s="190">
        <f t="shared" si="0"/>
        <v>-1443084882.1900001</v>
      </c>
      <c r="G39" s="190">
        <v>462797.35740000004</v>
      </c>
      <c r="H39" s="187">
        <v>51421.928600000007</v>
      </c>
      <c r="I39" s="187">
        <f t="shared" si="4"/>
        <v>3783631.5712000001</v>
      </c>
      <c r="J39" s="153" t="s">
        <v>35</v>
      </c>
      <c r="K39" s="191" t="s">
        <v>43</v>
      </c>
      <c r="L39" s="153" t="s">
        <v>173</v>
      </c>
      <c r="M39" s="191"/>
      <c r="N39" s="191"/>
      <c r="O39" s="155" t="s">
        <v>34</v>
      </c>
    </row>
    <row r="40" spans="1:15" s="4" customFormat="1" x14ac:dyDescent="0.35">
      <c r="A40" s="134" t="s">
        <v>93</v>
      </c>
      <c r="B40" s="135" t="s">
        <v>235</v>
      </c>
      <c r="C40" s="158">
        <v>19277084</v>
      </c>
      <c r="D40" s="158">
        <f t="shared" si="2"/>
        <v>1462361966.1900001</v>
      </c>
      <c r="E40" s="158">
        <v>1462689828</v>
      </c>
      <c r="F40" s="158">
        <f t="shared" si="0"/>
        <v>327861.80999994278</v>
      </c>
      <c r="G40" s="158">
        <v>3434840</v>
      </c>
      <c r="H40" s="158">
        <v>381649</v>
      </c>
      <c r="I40" s="158">
        <f t="shared" si="4"/>
        <v>16223893</v>
      </c>
      <c r="J40" s="137" t="s">
        <v>35</v>
      </c>
      <c r="K40" s="138" t="s">
        <v>43</v>
      </c>
      <c r="L40" s="137" t="s">
        <v>173</v>
      </c>
      <c r="M40" s="138"/>
      <c r="N40" s="138"/>
      <c r="O40" s="139" t="s">
        <v>34</v>
      </c>
    </row>
    <row r="41" spans="1:15" s="156" customFormat="1" x14ac:dyDescent="0.35">
      <c r="A41" s="185" t="s">
        <v>114</v>
      </c>
      <c r="B41" s="186">
        <v>45037</v>
      </c>
      <c r="C41" s="187">
        <v>7763487</v>
      </c>
      <c r="D41" s="190">
        <f t="shared" si="2"/>
        <v>1470125453.1900001</v>
      </c>
      <c r="E41" s="190"/>
      <c r="F41" s="190">
        <f t="shared" si="0"/>
        <v>-1470125453.1900001</v>
      </c>
      <c r="G41" s="190">
        <v>681743.08</v>
      </c>
      <c r="H41" s="187">
        <v>75749</v>
      </c>
      <c r="I41" s="187">
        <f t="shared" si="4"/>
        <v>7157492.9199999999</v>
      </c>
      <c r="J41" s="153" t="s">
        <v>35</v>
      </c>
      <c r="K41" s="191" t="s">
        <v>43</v>
      </c>
      <c r="L41" s="153" t="s">
        <v>173</v>
      </c>
      <c r="M41" s="191"/>
      <c r="N41" s="191"/>
      <c r="O41" s="155" t="s">
        <v>34</v>
      </c>
    </row>
    <row r="42" spans="1:15" s="4" customFormat="1" x14ac:dyDescent="0.35">
      <c r="A42" s="134" t="s">
        <v>370</v>
      </c>
      <c r="B42" s="135" t="s">
        <v>371</v>
      </c>
      <c r="C42" s="158">
        <v>13619349</v>
      </c>
      <c r="D42" s="158">
        <f t="shared" si="2"/>
        <v>1483744802.1900001</v>
      </c>
      <c r="E42" s="158">
        <v>1484072664</v>
      </c>
      <c r="F42" s="158">
        <f t="shared" si="0"/>
        <v>327861.80999994278</v>
      </c>
      <c r="G42" s="158">
        <v>2154585</v>
      </c>
      <c r="H42" s="158">
        <v>239398</v>
      </c>
      <c r="I42" s="158">
        <f t="shared" si="4"/>
        <v>11704162</v>
      </c>
      <c r="J42" s="138" t="s">
        <v>35</v>
      </c>
      <c r="K42" s="138" t="s">
        <v>43</v>
      </c>
      <c r="L42" s="137" t="s">
        <v>173</v>
      </c>
      <c r="M42" s="138"/>
      <c r="N42" s="138"/>
      <c r="O42" s="139" t="s">
        <v>34</v>
      </c>
    </row>
    <row r="43" spans="1:15" x14ac:dyDescent="0.35">
      <c r="A43" s="62"/>
      <c r="B43" s="83"/>
      <c r="C43" s="157"/>
      <c r="D43" s="157"/>
      <c r="E43" s="157"/>
      <c r="F43" s="157"/>
      <c r="G43" s="158"/>
      <c r="H43" s="157"/>
      <c r="I43" s="157"/>
      <c r="J43" s="66"/>
      <c r="K43" s="66"/>
      <c r="L43" s="58"/>
      <c r="M43" s="66"/>
      <c r="N43" s="66"/>
      <c r="O43" s="68"/>
    </row>
    <row r="44" spans="1:15" ht="15" thickBot="1" x14ac:dyDescent="0.4">
      <c r="A44" s="64"/>
      <c r="B44" s="103"/>
      <c r="C44" s="166"/>
      <c r="D44" s="166"/>
      <c r="E44" s="166"/>
      <c r="F44" s="166"/>
      <c r="G44" s="166"/>
      <c r="H44" s="166"/>
      <c r="I44" s="166"/>
      <c r="J44" s="75"/>
      <c r="K44" s="75"/>
      <c r="L44" s="124"/>
      <c r="M44" s="75"/>
      <c r="N44" s="75"/>
      <c r="O44" s="76"/>
    </row>
    <row r="45" spans="1:15" ht="15" thickBot="1" x14ac:dyDescent="0.4">
      <c r="A45" s="168"/>
      <c r="B45" s="169"/>
      <c r="C45" s="170">
        <f>SUM(C4:C44)</f>
        <v>1483744802.1900001</v>
      </c>
      <c r="D45" s="170"/>
      <c r="E45" s="170"/>
      <c r="F45" s="170"/>
      <c r="G45" s="170">
        <f>SUM(G4:G44)</f>
        <v>175312987.10882145</v>
      </c>
      <c r="H45" s="170">
        <f>SUM(H4:H44)</f>
        <v>27523374.166714285</v>
      </c>
      <c r="I45" s="170">
        <f>SUM(I4:I44)</f>
        <v>1335955189.2478926</v>
      </c>
      <c r="J45" s="171"/>
      <c r="K45" s="171"/>
      <c r="L45" s="169"/>
      <c r="M45" s="171"/>
      <c r="N45" s="171"/>
      <c r="O45" s="77"/>
    </row>
    <row r="46" spans="1:15" x14ac:dyDescent="0.35">
      <c r="A46" s="61"/>
      <c r="B46" s="164"/>
      <c r="C46" s="164"/>
      <c r="D46" s="164"/>
      <c r="E46" s="164"/>
      <c r="F46" s="164"/>
      <c r="G46" s="164">
        <v>158748595.25999999</v>
      </c>
      <c r="H46" s="167">
        <v>25705662</v>
      </c>
      <c r="I46" s="164"/>
      <c r="J46" s="100"/>
      <c r="K46" s="100"/>
      <c r="L46" s="164"/>
      <c r="M46" s="100"/>
      <c r="N46" s="100"/>
      <c r="O46" s="70"/>
    </row>
    <row r="47" spans="1:15" ht="15" thickBot="1" x14ac:dyDescent="0.4">
      <c r="A47" s="159"/>
      <c r="B47" s="160"/>
      <c r="C47" s="160"/>
      <c r="D47" s="160"/>
      <c r="E47" s="160"/>
      <c r="F47" s="160"/>
      <c r="G47" s="161">
        <f>+G45-G46</f>
        <v>16564391.848821461</v>
      </c>
      <c r="H47" s="161">
        <f>+H45-H46</f>
        <v>1817712.1667142846</v>
      </c>
      <c r="I47" s="160"/>
      <c r="J47" s="162"/>
      <c r="K47" s="162"/>
      <c r="L47" s="160"/>
      <c r="M47" s="162"/>
      <c r="N47" s="162"/>
      <c r="O47" s="163"/>
    </row>
    <row r="48" spans="1:15" x14ac:dyDescent="0.35">
      <c r="H48" s="8"/>
    </row>
    <row r="49" spans="2:13" x14ac:dyDescent="0.35">
      <c r="B49" s="2" t="s">
        <v>84</v>
      </c>
      <c r="C49" s="8">
        <f>+G45-H45</f>
        <v>147789612.94210717</v>
      </c>
      <c r="D49" s="8"/>
      <c r="E49" s="8"/>
      <c r="F49" s="8"/>
    </row>
    <row r="51" spans="2:13" x14ac:dyDescent="0.35">
      <c r="B51" s="2" t="s">
        <v>60</v>
      </c>
      <c r="C51" s="19">
        <f>C45-C49</f>
        <v>1335955189.2478929</v>
      </c>
      <c r="D51" s="19"/>
      <c r="E51" s="19"/>
      <c r="F51" s="19"/>
      <c r="G51" s="19"/>
      <c r="H51" s="19"/>
      <c r="I51" s="19"/>
    </row>
    <row r="54" spans="2:13" ht="15" thickBot="1" x14ac:dyDescent="0.4">
      <c r="L54" s="102"/>
    </row>
    <row r="55" spans="2:13" ht="15" thickBot="1" x14ac:dyDescent="0.4">
      <c r="B55" s="198" t="s">
        <v>91</v>
      </c>
      <c r="C55" s="199"/>
      <c r="D55" s="180"/>
      <c r="E55" s="180"/>
      <c r="F55" s="180"/>
      <c r="I55" s="200" t="s">
        <v>90</v>
      </c>
      <c r="J55" s="201"/>
      <c r="L55" s="102"/>
    </row>
    <row r="56" spans="2:13" ht="15" thickBot="1" x14ac:dyDescent="0.4">
      <c r="B56" s="196" t="s">
        <v>122</v>
      </c>
      <c r="C56" s="197"/>
      <c r="D56" s="181"/>
      <c r="E56" s="181"/>
      <c r="F56" s="181"/>
      <c r="I56" s="43" t="s">
        <v>122</v>
      </c>
      <c r="J56" s="41">
        <f>+C57</f>
        <v>1483744802.1900001</v>
      </c>
      <c r="L56" s="102">
        <v>1462689828</v>
      </c>
      <c r="M56" s="6">
        <f>+L56-J56</f>
        <v>-21054974.190000057</v>
      </c>
    </row>
    <row r="57" spans="2:13" ht="29" x14ac:dyDescent="0.35">
      <c r="B57" s="29" t="s">
        <v>76</v>
      </c>
      <c r="C57" s="30">
        <f>+C45</f>
        <v>1483744802.1900001</v>
      </c>
      <c r="D57" s="8"/>
      <c r="E57" s="8"/>
      <c r="F57" s="8"/>
      <c r="I57" s="117" t="s">
        <v>222</v>
      </c>
      <c r="J57" s="42">
        <f>+C64</f>
        <v>1988323532.0913928</v>
      </c>
      <c r="L57" s="102">
        <v>1230908942</v>
      </c>
      <c r="M57" s="6">
        <f>+L57-J57</f>
        <v>-757414590.09139276</v>
      </c>
    </row>
    <row r="58" spans="2:13" ht="15" thickBot="1" x14ac:dyDescent="0.4">
      <c r="B58" s="27" t="s">
        <v>77</v>
      </c>
      <c r="C58" s="28">
        <f>+H45</f>
        <v>27523374.166714285</v>
      </c>
      <c r="D58" s="8"/>
      <c r="E58" s="8"/>
      <c r="F58" s="8"/>
      <c r="I58" s="46"/>
      <c r="J58" s="32"/>
      <c r="L58" s="102"/>
      <c r="M58" s="6">
        <f>+M57+M56</f>
        <v>-778469564.28139281</v>
      </c>
    </row>
    <row r="59" spans="2:13" ht="15" thickBot="1" x14ac:dyDescent="0.4">
      <c r="B59" s="27" t="s">
        <v>78</v>
      </c>
      <c r="C59" s="28">
        <f>+G45</f>
        <v>175312987.10882145</v>
      </c>
      <c r="D59" s="8"/>
      <c r="E59" s="8"/>
      <c r="F59" s="8"/>
      <c r="I59" s="33" t="s">
        <v>86</v>
      </c>
      <c r="J59" s="34">
        <f>+J56+J57</f>
        <v>3472068334.2813931</v>
      </c>
      <c r="L59" s="102"/>
      <c r="M59" s="65">
        <f>+M58*0.01</f>
        <v>-7784695.6428139284</v>
      </c>
    </row>
    <row r="60" spans="2:13" ht="15" thickBot="1" x14ac:dyDescent="0.4">
      <c r="B60" s="31"/>
      <c r="C60" s="32"/>
      <c r="I60" s="47"/>
      <c r="J60" s="48"/>
      <c r="L60" s="102"/>
    </row>
    <row r="61" spans="2:13" ht="15" thickBot="1" x14ac:dyDescent="0.4">
      <c r="B61" s="33" t="s">
        <v>79</v>
      </c>
      <c r="C61" s="34">
        <f>+C57+C58-C59</f>
        <v>1335955189.2478929</v>
      </c>
      <c r="D61" s="25"/>
      <c r="E61" s="25"/>
      <c r="F61" s="25"/>
      <c r="I61" s="45" t="s">
        <v>85</v>
      </c>
      <c r="J61" s="28">
        <f>+J59*0.01</f>
        <v>34720683.342813931</v>
      </c>
      <c r="L61" s="102"/>
    </row>
    <row r="62" spans="2:13" ht="15" thickBot="1" x14ac:dyDescent="0.4">
      <c r="B62" s="36"/>
      <c r="C62" s="37"/>
      <c r="H62" s="26"/>
      <c r="I62" s="44" t="s">
        <v>80</v>
      </c>
      <c r="J62" s="28">
        <v>500000</v>
      </c>
    </row>
    <row r="63" spans="2:13" ht="15" thickBot="1" x14ac:dyDescent="0.4">
      <c r="B63" s="196" t="s">
        <v>123</v>
      </c>
      <c r="C63" s="197"/>
      <c r="D63" s="181"/>
      <c r="E63" s="181"/>
      <c r="F63" s="181"/>
      <c r="H63" s="26"/>
      <c r="I63" s="46"/>
      <c r="J63" s="32"/>
    </row>
    <row r="64" spans="2:13" ht="15" thickBot="1" x14ac:dyDescent="0.4">
      <c r="B64" s="29" t="s">
        <v>76</v>
      </c>
      <c r="C64" s="30">
        <f>+'PKG-3'!C77</f>
        <v>1988323532.0913928</v>
      </c>
      <c r="D64" s="8"/>
      <c r="E64" s="8"/>
      <c r="F64" s="8"/>
      <c r="G64" s="8"/>
      <c r="H64" s="26"/>
      <c r="I64" s="33" t="s">
        <v>81</v>
      </c>
      <c r="J64" s="34">
        <f>+J62+J61</f>
        <v>35220683.342813931</v>
      </c>
    </row>
    <row r="65" spans="1:12" x14ac:dyDescent="0.35">
      <c r="B65" s="27" t="s">
        <v>77</v>
      </c>
      <c r="C65" s="28">
        <f>+'PKG-3'!H77</f>
        <v>37175810.721114285</v>
      </c>
      <c r="D65" s="8"/>
      <c r="E65" s="8"/>
      <c r="F65" s="8"/>
      <c r="G65" s="8"/>
      <c r="H65" s="26"/>
      <c r="I65" s="47" t="s">
        <v>82</v>
      </c>
      <c r="J65" s="37">
        <f>18500000+2500000+6000000+3450000</f>
        <v>30450000</v>
      </c>
    </row>
    <row r="66" spans="1:12" ht="15" thickBot="1" x14ac:dyDescent="0.4">
      <c r="B66" s="27" t="s">
        <v>78</v>
      </c>
      <c r="C66" s="28">
        <f>+'PKG-3'!G77</f>
        <v>281617169.39413571</v>
      </c>
      <c r="D66" s="8"/>
      <c r="E66" s="8"/>
      <c r="F66" s="8"/>
      <c r="G66" s="8"/>
      <c r="H66" s="26"/>
      <c r="I66" s="46"/>
      <c r="J66" s="32"/>
    </row>
    <row r="67" spans="1:12" ht="16" thickBot="1" x14ac:dyDescent="0.4">
      <c r="B67" s="31"/>
      <c r="C67" s="32"/>
      <c r="H67" s="26"/>
      <c r="I67" s="49" t="s">
        <v>83</v>
      </c>
      <c r="J67" s="50">
        <f>+J64-J65</f>
        <v>4770683.3428139314</v>
      </c>
    </row>
    <row r="68" spans="1:12" ht="15" thickBot="1" x14ac:dyDescent="0.4">
      <c r="B68" s="33" t="s">
        <v>79</v>
      </c>
      <c r="C68" s="34">
        <f>+C64+C65-C66</f>
        <v>1743882173.4183714</v>
      </c>
      <c r="D68" s="25"/>
      <c r="E68" s="25"/>
      <c r="F68" s="25"/>
      <c r="H68" s="26"/>
    </row>
    <row r="69" spans="1:12" x14ac:dyDescent="0.35">
      <c r="B69" s="36"/>
      <c r="C69" s="54"/>
      <c r="H69" s="26"/>
      <c r="L69" s="118" t="s">
        <v>113</v>
      </c>
    </row>
    <row r="70" spans="1:12" x14ac:dyDescent="0.35">
      <c r="B70" s="38" t="s">
        <v>92</v>
      </c>
      <c r="C70" s="53">
        <f>+C61+C68</f>
        <v>3079837362.6662645</v>
      </c>
      <c r="D70" s="25"/>
      <c r="E70" s="25"/>
      <c r="F70" s="25"/>
      <c r="H70" s="26"/>
    </row>
    <row r="71" spans="1:12" x14ac:dyDescent="0.35">
      <c r="B71" s="36"/>
      <c r="C71" s="54"/>
    </row>
    <row r="72" spans="1:12" x14ac:dyDescent="0.35">
      <c r="B72" s="39" t="s">
        <v>85</v>
      </c>
      <c r="C72" s="53">
        <f>+C70*0.01</f>
        <v>30798373.626662645</v>
      </c>
      <c r="D72" s="25"/>
      <c r="E72" s="25"/>
      <c r="F72" s="25"/>
    </row>
    <row r="73" spans="1:12" s="4" customFormat="1" x14ac:dyDescent="0.35">
      <c r="A73" s="24"/>
      <c r="B73" s="36" t="s">
        <v>80</v>
      </c>
      <c r="C73" s="55">
        <v>500000</v>
      </c>
      <c r="D73" s="8"/>
      <c r="E73" s="8"/>
      <c r="F73" s="8"/>
      <c r="G73" s="24"/>
      <c r="H73" s="24"/>
      <c r="I73" s="24"/>
      <c r="L73" s="24"/>
    </row>
    <row r="74" spans="1:12" ht="15" thickBot="1" x14ac:dyDescent="0.4">
      <c r="B74" s="56"/>
      <c r="C74" s="57"/>
      <c r="D74" s="8"/>
      <c r="E74" s="8"/>
      <c r="F74" s="8"/>
    </row>
    <row r="75" spans="1:12" ht="15" thickBot="1" x14ac:dyDescent="0.4">
      <c r="B75" s="52" t="s">
        <v>81</v>
      </c>
      <c r="C75" s="51">
        <f>+C72+C73</f>
        <v>31298373.626662645</v>
      </c>
      <c r="D75" s="25"/>
      <c r="E75" s="25"/>
      <c r="F75" s="25"/>
      <c r="I75" s="8"/>
    </row>
    <row r="76" spans="1:12" s="4" customFormat="1" x14ac:dyDescent="0.35">
      <c r="A76" s="24"/>
      <c r="B76" s="36" t="s">
        <v>82</v>
      </c>
      <c r="C76" s="37">
        <f>18500000+2500000+6000000+3450000</f>
        <v>30450000</v>
      </c>
      <c r="D76" s="2"/>
      <c r="E76" s="2"/>
      <c r="F76" s="2"/>
      <c r="G76" s="24"/>
      <c r="H76" s="24"/>
      <c r="I76" s="25"/>
      <c r="L76" s="24"/>
    </row>
    <row r="77" spans="1:12" ht="15" thickBot="1" x14ac:dyDescent="0.4">
      <c r="B77" s="36"/>
      <c r="C77" s="37"/>
      <c r="I77" s="25"/>
    </row>
    <row r="78" spans="1:12" ht="19" thickBot="1" x14ac:dyDescent="0.5">
      <c r="B78" s="35" t="s">
        <v>83</v>
      </c>
      <c r="C78" s="40">
        <f>+C75-C76</f>
        <v>848373.62666264549</v>
      </c>
      <c r="D78" s="182"/>
      <c r="E78" s="182"/>
      <c r="F78" s="182"/>
    </row>
    <row r="84" spans="2:9" ht="15" thickBot="1" x14ac:dyDescent="0.4"/>
    <row r="85" spans="2:9" ht="15" thickBot="1" x14ac:dyDescent="0.4">
      <c r="B85" s="59" t="s">
        <v>110</v>
      </c>
      <c r="C85" s="60" t="s">
        <v>108</v>
      </c>
      <c r="D85" s="24"/>
      <c r="E85" s="24"/>
      <c r="F85" s="24"/>
    </row>
    <row r="86" spans="2:9" x14ac:dyDescent="0.35">
      <c r="B86" s="61" t="s">
        <v>94</v>
      </c>
      <c r="C86" s="48">
        <v>5</v>
      </c>
      <c r="I86" s="58">
        <v>500000</v>
      </c>
    </row>
    <row r="87" spans="2:9" x14ac:dyDescent="0.35">
      <c r="B87" s="62" t="s">
        <v>95</v>
      </c>
      <c r="C87" s="63">
        <v>5</v>
      </c>
      <c r="I87" s="58">
        <v>500000</v>
      </c>
    </row>
    <row r="88" spans="2:9" x14ac:dyDescent="0.35">
      <c r="B88" s="62" t="s">
        <v>96</v>
      </c>
      <c r="C88" s="63">
        <v>5</v>
      </c>
      <c r="I88" s="58">
        <v>500000</v>
      </c>
    </row>
    <row r="89" spans="2:9" x14ac:dyDescent="0.35">
      <c r="B89" s="62" t="s">
        <v>97</v>
      </c>
      <c r="C89" s="63">
        <v>10</v>
      </c>
      <c r="I89" s="58">
        <v>1000000</v>
      </c>
    </row>
    <row r="90" spans="2:9" x14ac:dyDescent="0.35">
      <c r="B90" s="62" t="s">
        <v>98</v>
      </c>
      <c r="C90" s="63">
        <v>10</v>
      </c>
      <c r="I90" s="58">
        <v>1000000</v>
      </c>
    </row>
    <row r="91" spans="2:9" x14ac:dyDescent="0.35">
      <c r="B91" s="62" t="s">
        <v>99</v>
      </c>
      <c r="C91" s="63">
        <v>10</v>
      </c>
      <c r="I91" s="58">
        <v>1000000</v>
      </c>
    </row>
    <row r="92" spans="2:9" x14ac:dyDescent="0.35">
      <c r="B92" s="62" t="s">
        <v>100</v>
      </c>
      <c r="C92" s="63">
        <v>10</v>
      </c>
      <c r="I92" s="58">
        <v>1000000</v>
      </c>
    </row>
    <row r="93" spans="2:9" x14ac:dyDescent="0.35">
      <c r="B93" s="62" t="s">
        <v>101</v>
      </c>
      <c r="C93" s="63">
        <v>20</v>
      </c>
      <c r="I93" s="58">
        <v>2000000</v>
      </c>
    </row>
    <row r="94" spans="2:9" x14ac:dyDescent="0.35">
      <c r="B94" s="62" t="s">
        <v>102</v>
      </c>
      <c r="C94" s="63">
        <v>25</v>
      </c>
      <c r="I94" s="58">
        <v>2500000</v>
      </c>
    </row>
    <row r="95" spans="2:9" x14ac:dyDescent="0.35">
      <c r="B95" s="62" t="s">
        <v>103</v>
      </c>
      <c r="C95" s="63">
        <v>20</v>
      </c>
      <c r="I95" s="58">
        <v>2000000</v>
      </c>
    </row>
    <row r="96" spans="2:9" x14ac:dyDescent="0.35">
      <c r="B96" s="62" t="s">
        <v>104</v>
      </c>
      <c r="C96" s="63">
        <v>20</v>
      </c>
      <c r="I96" s="58">
        <v>2000000</v>
      </c>
    </row>
    <row r="97" spans="2:9" x14ac:dyDescent="0.35">
      <c r="B97" s="62" t="s">
        <v>105</v>
      </c>
      <c r="C97" s="63">
        <v>20</v>
      </c>
      <c r="I97" s="58">
        <v>2000000</v>
      </c>
    </row>
    <row r="98" spans="2:9" x14ac:dyDescent="0.35">
      <c r="B98" s="62" t="s">
        <v>106</v>
      </c>
      <c r="C98" s="63">
        <v>25</v>
      </c>
      <c r="I98" s="58">
        <v>2500000</v>
      </c>
    </row>
    <row r="99" spans="2:9" x14ac:dyDescent="0.35">
      <c r="B99" s="62" t="s">
        <v>107</v>
      </c>
      <c r="C99" s="63">
        <v>25</v>
      </c>
      <c r="I99" s="58">
        <v>2500000</v>
      </c>
    </row>
    <row r="100" spans="2:9" x14ac:dyDescent="0.35">
      <c r="B100" s="62" t="s">
        <v>111</v>
      </c>
      <c r="C100" s="63">
        <v>60</v>
      </c>
      <c r="I100" s="58">
        <v>6000000</v>
      </c>
    </row>
    <row r="101" spans="2:9" x14ac:dyDescent="0.35">
      <c r="B101" s="64" t="s">
        <v>171</v>
      </c>
      <c r="C101" s="32">
        <v>34.5</v>
      </c>
      <c r="I101" s="2">
        <v>3450000</v>
      </c>
    </row>
    <row r="102" spans="2:9" x14ac:dyDescent="0.35">
      <c r="B102" s="64"/>
      <c r="C102" s="32"/>
    </row>
    <row r="103" spans="2:9" ht="15" thickBot="1" x14ac:dyDescent="0.4">
      <c r="B103" s="64"/>
      <c r="C103" s="32"/>
    </row>
    <row r="104" spans="2:9" ht="15" thickBot="1" x14ac:dyDescent="0.4">
      <c r="B104" s="59" t="s">
        <v>109</v>
      </c>
      <c r="C104" s="60">
        <f>SUM(C86:C103)</f>
        <v>304.5</v>
      </c>
      <c r="D104" s="24"/>
      <c r="E104" s="24"/>
      <c r="F104" s="24"/>
    </row>
  </sheetData>
  <mergeCells count="4">
    <mergeCell ref="B56:C56"/>
    <mergeCell ref="B63:C63"/>
    <mergeCell ref="B55:C55"/>
    <mergeCell ref="I55:J5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8"/>
  <sheetViews>
    <sheetView zoomScaleNormal="100" workbookViewId="0">
      <pane ySplit="2" topLeftCell="A63" activePane="bottomLeft" state="frozen"/>
      <selection pane="bottomLeft" activeCell="C77" sqref="C77"/>
    </sheetView>
  </sheetViews>
  <sheetFormatPr defaultColWidth="9.08984375" defaultRowHeight="14.5" x14ac:dyDescent="0.35"/>
  <cols>
    <col min="1" max="1" width="15.81640625" style="2" bestFit="1" customWidth="1"/>
    <col min="2" max="2" width="13.453125" style="2" customWidth="1"/>
    <col min="3" max="3" width="12.54296875" style="2" bestFit="1" customWidth="1"/>
    <col min="4" max="9" width="12.54296875" style="2" customWidth="1"/>
    <col min="10" max="10" width="15" style="2" bestFit="1" customWidth="1"/>
    <col min="11" max="11" width="22.6328125" style="2" bestFit="1" customWidth="1"/>
    <col min="12" max="12" width="18.36328125" style="2" bestFit="1" customWidth="1"/>
    <col min="13" max="13" width="11.36328125" style="2" customWidth="1"/>
    <col min="14" max="14" width="23.90625" style="2" bestFit="1" customWidth="1"/>
    <col min="15" max="15" width="12.453125" style="2" bestFit="1" customWidth="1"/>
    <col min="16" max="16384" width="9.08984375" style="2"/>
  </cols>
  <sheetData>
    <row r="1" spans="1:15" ht="15" thickBot="1" x14ac:dyDescent="0.4"/>
    <row r="2" spans="1:15" s="20" customFormat="1" ht="29.5" thickBot="1" x14ac:dyDescent="0.4">
      <c r="A2" s="127" t="s">
        <v>20</v>
      </c>
      <c r="B2" s="121" t="s">
        <v>21</v>
      </c>
      <c r="C2" s="165" t="s">
        <v>118</v>
      </c>
      <c r="D2" s="121" t="s">
        <v>375</v>
      </c>
      <c r="E2" s="121" t="s">
        <v>398</v>
      </c>
      <c r="F2" s="121" t="s">
        <v>243</v>
      </c>
      <c r="G2" s="121" t="s">
        <v>50</v>
      </c>
      <c r="H2" s="121" t="s">
        <v>72</v>
      </c>
      <c r="I2" s="121" t="s">
        <v>73</v>
      </c>
      <c r="J2" s="121" t="s">
        <v>23</v>
      </c>
      <c r="K2" s="121" t="s">
        <v>24</v>
      </c>
      <c r="L2" s="121" t="s">
        <v>25</v>
      </c>
      <c r="M2" s="121" t="s">
        <v>25</v>
      </c>
      <c r="N2" s="121" t="s">
        <v>30</v>
      </c>
      <c r="O2" s="122" t="s">
        <v>33</v>
      </c>
    </row>
    <row r="3" spans="1:15" x14ac:dyDescent="0.35">
      <c r="A3" s="61" t="s">
        <v>45</v>
      </c>
      <c r="B3" s="177">
        <v>44147</v>
      </c>
      <c r="C3" s="167">
        <v>95610781.219999999</v>
      </c>
      <c r="D3" s="167">
        <f>+C3</f>
        <v>95610781.219999999</v>
      </c>
      <c r="E3" s="167">
        <v>95610781</v>
      </c>
      <c r="F3" s="157">
        <f t="shared" ref="F3:F67" si="0">E3-D3</f>
        <v>-0.2199999988079071</v>
      </c>
      <c r="G3" s="167">
        <v>0</v>
      </c>
      <c r="H3" s="167">
        <v>1762411</v>
      </c>
      <c r="I3" s="167">
        <f>+C3+H3-G3</f>
        <v>97373192.219999999</v>
      </c>
      <c r="J3" s="164" t="s">
        <v>35</v>
      </c>
      <c r="K3" s="164" t="s">
        <v>27</v>
      </c>
      <c r="L3" s="164" t="s">
        <v>32</v>
      </c>
      <c r="M3" s="164"/>
      <c r="N3" s="164"/>
      <c r="O3" s="48" t="s">
        <v>34</v>
      </c>
    </row>
    <row r="4" spans="1:15" s="24" customFormat="1" x14ac:dyDescent="0.35">
      <c r="A4" s="134" t="s">
        <v>0</v>
      </c>
      <c r="B4" s="135" t="s">
        <v>349</v>
      </c>
      <c r="C4" s="158">
        <v>11972487.537999999</v>
      </c>
      <c r="D4" s="158">
        <f>+D3+C4</f>
        <v>107583268.758</v>
      </c>
      <c r="E4" s="158">
        <v>107583269</v>
      </c>
      <c r="F4" s="157">
        <f t="shared" si="0"/>
        <v>0.24199999868869781</v>
      </c>
      <c r="G4" s="158">
        <v>1493760.1414285712</v>
      </c>
      <c r="H4" s="158">
        <v>248960.02</v>
      </c>
      <c r="I4" s="158">
        <f t="shared" ref="I4:I31" si="1">+C4+H4-G4</f>
        <v>10727687.416571427</v>
      </c>
      <c r="J4" s="137" t="s">
        <v>35</v>
      </c>
      <c r="K4" s="137" t="s">
        <v>36</v>
      </c>
      <c r="L4" s="137" t="s">
        <v>32</v>
      </c>
      <c r="M4" s="137"/>
      <c r="N4" s="137"/>
      <c r="O4" s="179" t="s">
        <v>34</v>
      </c>
    </row>
    <row r="5" spans="1:15" s="24" customFormat="1" x14ac:dyDescent="0.35">
      <c r="A5" s="134" t="s">
        <v>1</v>
      </c>
      <c r="B5" s="135" t="s">
        <v>350</v>
      </c>
      <c r="C5" s="158">
        <v>14978801.145142857</v>
      </c>
      <c r="D5" s="158">
        <f t="shared" ref="D5:D60" si="2">+D4+C5</f>
        <v>122562069.90314285</v>
      </c>
      <c r="E5" s="158">
        <v>122562070</v>
      </c>
      <c r="F5" s="157">
        <f t="shared" si="0"/>
        <v>9.6857145428657532E-2</v>
      </c>
      <c r="G5" s="158">
        <v>1868846.0571428568</v>
      </c>
      <c r="H5" s="158">
        <v>311474.34285714279</v>
      </c>
      <c r="I5" s="158">
        <f t="shared" si="1"/>
        <v>13421429.430857142</v>
      </c>
      <c r="J5" s="137" t="s">
        <v>35</v>
      </c>
      <c r="K5" s="137" t="s">
        <v>36</v>
      </c>
      <c r="L5" s="137" t="s">
        <v>32</v>
      </c>
      <c r="M5" s="137"/>
      <c r="N5" s="137"/>
      <c r="O5" s="179" t="s">
        <v>34</v>
      </c>
    </row>
    <row r="6" spans="1:15" s="24" customFormat="1" x14ac:dyDescent="0.35">
      <c r="A6" s="134" t="s">
        <v>2</v>
      </c>
      <c r="B6" s="135" t="s">
        <v>374</v>
      </c>
      <c r="C6" s="158">
        <v>33433562.730000004</v>
      </c>
      <c r="D6" s="158">
        <f t="shared" si="2"/>
        <v>155995632.63314286</v>
      </c>
      <c r="E6" s="158">
        <v>155995633</v>
      </c>
      <c r="F6" s="157">
        <f t="shared" si="0"/>
        <v>0.3668571412563324</v>
      </c>
      <c r="G6" s="158">
        <v>4119970.7624999997</v>
      </c>
      <c r="H6" s="158">
        <v>686661.8</v>
      </c>
      <c r="I6" s="158">
        <f t="shared" si="1"/>
        <v>30000253.767500002</v>
      </c>
      <c r="J6" s="137" t="s">
        <v>35</v>
      </c>
      <c r="K6" s="137" t="s">
        <v>36</v>
      </c>
      <c r="L6" s="137" t="s">
        <v>32</v>
      </c>
      <c r="M6" s="137"/>
      <c r="N6" s="137"/>
      <c r="O6" s="179" t="s">
        <v>34</v>
      </c>
    </row>
    <row r="7" spans="1:15" s="24" customFormat="1" x14ac:dyDescent="0.35">
      <c r="A7" s="134" t="s">
        <v>3</v>
      </c>
      <c r="B7" s="135" t="s">
        <v>352</v>
      </c>
      <c r="C7" s="158">
        <v>40102408.151250005</v>
      </c>
      <c r="D7" s="158">
        <f t="shared" si="2"/>
        <v>196098040.78439286</v>
      </c>
      <c r="E7" s="158">
        <v>196098041</v>
      </c>
      <c r="F7" s="157">
        <f t="shared" si="0"/>
        <v>0.21560713648796082</v>
      </c>
      <c r="G7" s="158">
        <v>5003419.6071428573</v>
      </c>
      <c r="H7" s="158">
        <v>833903.26785714284</v>
      </c>
      <c r="I7" s="158">
        <f t="shared" si="1"/>
        <v>35932891.811964288</v>
      </c>
      <c r="J7" s="137" t="s">
        <v>35</v>
      </c>
      <c r="K7" s="137" t="s">
        <v>36</v>
      </c>
      <c r="L7" s="137" t="s">
        <v>32</v>
      </c>
      <c r="M7" s="137"/>
      <c r="N7" s="137"/>
      <c r="O7" s="179" t="s">
        <v>34</v>
      </c>
    </row>
    <row r="8" spans="1:15" s="24" customFormat="1" x14ac:dyDescent="0.35">
      <c r="A8" s="134" t="s">
        <v>4</v>
      </c>
      <c r="B8" s="135" t="s">
        <v>257</v>
      </c>
      <c r="C8" s="158">
        <v>148939705</v>
      </c>
      <c r="D8" s="158">
        <f t="shared" si="2"/>
        <v>345037745.78439283</v>
      </c>
      <c r="E8" s="158">
        <v>345037746</v>
      </c>
      <c r="F8" s="157">
        <f t="shared" si="0"/>
        <v>0.2156071662902832</v>
      </c>
      <c r="G8" s="158">
        <v>18582620.648571428</v>
      </c>
      <c r="H8" s="158">
        <v>3097103.44</v>
      </c>
      <c r="I8" s="158">
        <f t="shared" si="1"/>
        <v>133454187.79142857</v>
      </c>
      <c r="J8" s="137" t="s">
        <v>35</v>
      </c>
      <c r="K8" s="137" t="s">
        <v>36</v>
      </c>
      <c r="L8" s="137" t="s">
        <v>32</v>
      </c>
      <c r="M8" s="137"/>
      <c r="N8" s="137"/>
      <c r="O8" s="179" t="s">
        <v>34</v>
      </c>
    </row>
    <row r="9" spans="1:15" s="189" customFormat="1" x14ac:dyDescent="0.35">
      <c r="A9" s="185" t="s">
        <v>38</v>
      </c>
      <c r="B9" s="186">
        <v>44281</v>
      </c>
      <c r="C9" s="187">
        <v>7665844.5499999998</v>
      </c>
      <c r="D9" s="187">
        <f t="shared" si="2"/>
        <v>352703590.33439285</v>
      </c>
      <c r="E9" s="187"/>
      <c r="F9" s="187">
        <f t="shared" si="0"/>
        <v>-352703590.33439285</v>
      </c>
      <c r="G9" s="187">
        <v>131082.64285714284</v>
      </c>
      <c r="H9" s="187">
        <v>21847.1</v>
      </c>
      <c r="I9" s="187">
        <f t="shared" si="1"/>
        <v>7556609.0071428567</v>
      </c>
      <c r="J9" s="153" t="s">
        <v>35</v>
      </c>
      <c r="K9" s="153" t="s">
        <v>36</v>
      </c>
      <c r="L9" s="153" t="s">
        <v>32</v>
      </c>
      <c r="M9" s="153"/>
      <c r="N9" s="153"/>
      <c r="O9" s="188" t="s">
        <v>34</v>
      </c>
    </row>
    <row r="10" spans="1:15" s="24" customFormat="1" x14ac:dyDescent="0.35">
      <c r="A10" s="134" t="s">
        <v>5</v>
      </c>
      <c r="B10" s="135" t="s">
        <v>353</v>
      </c>
      <c r="C10" s="158">
        <v>52827900.387000002</v>
      </c>
      <c r="D10" s="158">
        <f t="shared" si="2"/>
        <v>405531490.72139287</v>
      </c>
      <c r="E10" s="158">
        <v>405531491</v>
      </c>
      <c r="F10" s="157">
        <f t="shared" si="0"/>
        <v>0.27860713005065918</v>
      </c>
      <c r="G10" s="158">
        <v>9290344.8353571426</v>
      </c>
      <c r="H10" s="158">
        <v>1236240.8899999999</v>
      </c>
      <c r="I10" s="158">
        <f t="shared" si="1"/>
        <v>44773796.441642858</v>
      </c>
      <c r="J10" s="137" t="s">
        <v>35</v>
      </c>
      <c r="K10" s="137" t="s">
        <v>37</v>
      </c>
      <c r="L10" s="137" t="s">
        <v>32</v>
      </c>
      <c r="M10" s="137"/>
      <c r="N10" s="137"/>
      <c r="O10" s="179" t="s">
        <v>34</v>
      </c>
    </row>
    <row r="11" spans="1:15" s="24" customFormat="1" x14ac:dyDescent="0.35">
      <c r="A11" s="134" t="s">
        <v>6</v>
      </c>
      <c r="B11" s="135" t="s">
        <v>376</v>
      </c>
      <c r="C11" s="158">
        <v>0</v>
      </c>
      <c r="D11" s="158">
        <f t="shared" si="2"/>
        <v>405531490.72139287</v>
      </c>
      <c r="E11" s="158">
        <v>405531491</v>
      </c>
      <c r="F11" s="157">
        <f t="shared" si="0"/>
        <v>0.27860713005065918</v>
      </c>
      <c r="G11" s="158">
        <v>5912209.6457142849</v>
      </c>
      <c r="H11" s="158">
        <v>138216.19</v>
      </c>
      <c r="I11" s="158">
        <f t="shared" si="1"/>
        <v>-5773993.4557142844</v>
      </c>
      <c r="J11" s="137" t="s">
        <v>35</v>
      </c>
      <c r="K11" s="137" t="s">
        <v>37</v>
      </c>
      <c r="L11" s="137" t="s">
        <v>32</v>
      </c>
      <c r="M11" s="137"/>
      <c r="N11" s="137"/>
      <c r="O11" s="179" t="s">
        <v>34</v>
      </c>
    </row>
    <row r="12" spans="1:15" s="189" customFormat="1" x14ac:dyDescent="0.35">
      <c r="A12" s="185" t="s">
        <v>379</v>
      </c>
      <c r="B12" s="186"/>
      <c r="C12" s="187">
        <v>24616966.009999998</v>
      </c>
      <c r="D12" s="187">
        <f t="shared" si="2"/>
        <v>430148456.73139286</v>
      </c>
      <c r="E12" s="187"/>
      <c r="F12" s="187">
        <f t="shared" si="0"/>
        <v>-430148456.73139286</v>
      </c>
      <c r="G12" s="187">
        <v>841514.03571428556</v>
      </c>
      <c r="H12" s="187">
        <v>140252.34</v>
      </c>
      <c r="I12" s="187">
        <f t="shared" si="1"/>
        <v>23915704.31428571</v>
      </c>
      <c r="J12" s="153" t="s">
        <v>35</v>
      </c>
      <c r="K12" s="153" t="s">
        <v>37</v>
      </c>
      <c r="L12" s="153" t="s">
        <v>32</v>
      </c>
      <c r="M12" s="153"/>
      <c r="N12" s="153"/>
      <c r="O12" s="188" t="s">
        <v>34</v>
      </c>
    </row>
    <row r="13" spans="1:15" s="24" customFormat="1" x14ac:dyDescent="0.35">
      <c r="A13" s="134" t="s">
        <v>377</v>
      </c>
      <c r="B13" s="135" t="s">
        <v>378</v>
      </c>
      <c r="C13" s="158">
        <v>71424386</v>
      </c>
      <c r="D13" s="158">
        <f t="shared" si="2"/>
        <v>501572842.73139286</v>
      </c>
      <c r="E13" s="158">
        <v>501572843</v>
      </c>
      <c r="F13" s="157">
        <f t="shared" si="0"/>
        <v>0.26860713958740234</v>
      </c>
      <c r="G13" s="158">
        <v>11948633.22642857</v>
      </c>
      <c r="H13" s="158">
        <v>1388330.16</v>
      </c>
      <c r="I13" s="158">
        <f>+C13+H13-G13</f>
        <v>60864082.933571428</v>
      </c>
      <c r="J13" s="137" t="s">
        <v>35</v>
      </c>
      <c r="K13" s="137" t="s">
        <v>37</v>
      </c>
      <c r="L13" s="137" t="s">
        <v>32</v>
      </c>
      <c r="M13" s="137"/>
      <c r="N13" s="137"/>
      <c r="O13" s="179" t="s">
        <v>34</v>
      </c>
    </row>
    <row r="14" spans="1:15" s="24" customFormat="1" x14ac:dyDescent="0.35">
      <c r="A14" s="134" t="s">
        <v>380</v>
      </c>
      <c r="B14" s="135" t="s">
        <v>358</v>
      </c>
      <c r="C14" s="158">
        <v>45830424</v>
      </c>
      <c r="D14" s="158">
        <f t="shared" si="2"/>
        <v>547403266.73139286</v>
      </c>
      <c r="E14" s="158">
        <v>547403267</v>
      </c>
      <c r="F14" s="157">
        <f t="shared" si="0"/>
        <v>0.26860713958740234</v>
      </c>
      <c r="G14" s="158">
        <v>4329989.4450000003</v>
      </c>
      <c r="H14" s="158">
        <v>721664.91</v>
      </c>
      <c r="I14" s="158">
        <f t="shared" si="1"/>
        <v>42222099.464999996</v>
      </c>
      <c r="J14" s="137" t="s">
        <v>35</v>
      </c>
      <c r="K14" s="137" t="s">
        <v>43</v>
      </c>
      <c r="L14" s="137" t="s">
        <v>32</v>
      </c>
      <c r="M14" s="137"/>
      <c r="N14" s="137"/>
      <c r="O14" s="179" t="s">
        <v>34</v>
      </c>
    </row>
    <row r="15" spans="1:15" s="24" customFormat="1" x14ac:dyDescent="0.35">
      <c r="A15" s="134" t="s">
        <v>357</v>
      </c>
      <c r="B15" s="135" t="s">
        <v>381</v>
      </c>
      <c r="C15" s="158">
        <v>118656119</v>
      </c>
      <c r="D15" s="184">
        <f t="shared" si="2"/>
        <v>666059385.73139286</v>
      </c>
      <c r="E15" s="158">
        <v>666059386</v>
      </c>
      <c r="F15" s="157">
        <f t="shared" si="0"/>
        <v>0.26860713958740234</v>
      </c>
      <c r="G15" s="158">
        <v>14102086.368214283</v>
      </c>
      <c r="H15" s="158">
        <v>2350347.7200000002</v>
      </c>
      <c r="I15" s="158">
        <f t="shared" si="1"/>
        <v>106904380.35178572</v>
      </c>
      <c r="J15" s="137" t="s">
        <v>35</v>
      </c>
      <c r="K15" s="137" t="s">
        <v>37</v>
      </c>
      <c r="L15" s="137" t="s">
        <v>32</v>
      </c>
      <c r="M15" s="137"/>
      <c r="N15" s="137"/>
      <c r="O15" s="179" t="s">
        <v>34</v>
      </c>
    </row>
    <row r="16" spans="1:15" s="189" customFormat="1" x14ac:dyDescent="0.35">
      <c r="A16" s="185" t="s">
        <v>52</v>
      </c>
      <c r="B16" s="186">
        <v>44566</v>
      </c>
      <c r="C16" s="187">
        <v>26645618.48</v>
      </c>
      <c r="D16" s="187">
        <f t="shared" si="2"/>
        <v>692705004.21139288</v>
      </c>
      <c r="E16" s="190"/>
      <c r="F16" s="187">
        <f t="shared" si="0"/>
        <v>-692705004.21139288</v>
      </c>
      <c r="G16" s="187">
        <v>1550757.6428571427</v>
      </c>
      <c r="H16" s="187">
        <v>258459.61</v>
      </c>
      <c r="I16" s="187">
        <f t="shared" si="1"/>
        <v>25353320.447142858</v>
      </c>
      <c r="J16" s="153" t="s">
        <v>35</v>
      </c>
      <c r="K16" s="153"/>
      <c r="L16" s="153"/>
      <c r="M16" s="153"/>
      <c r="N16" s="153"/>
      <c r="O16" s="188" t="s">
        <v>34</v>
      </c>
    </row>
    <row r="17" spans="1:15" s="189" customFormat="1" x14ac:dyDescent="0.35">
      <c r="A17" s="185" t="s">
        <v>10</v>
      </c>
      <c r="B17" s="186">
        <v>44567</v>
      </c>
      <c r="C17" s="187">
        <v>42416986.160000004</v>
      </c>
      <c r="D17" s="187">
        <f t="shared" si="2"/>
        <v>735121990.37139285</v>
      </c>
      <c r="E17" s="190"/>
      <c r="F17" s="187">
        <f t="shared" si="0"/>
        <v>-735121990.37139285</v>
      </c>
      <c r="G17" s="187">
        <v>6065757.3364285706</v>
      </c>
      <c r="H17" s="187">
        <v>1010959.56</v>
      </c>
      <c r="I17" s="187">
        <f t="shared" si="1"/>
        <v>37362188.383571438</v>
      </c>
      <c r="J17" s="153" t="s">
        <v>35</v>
      </c>
      <c r="K17" s="153"/>
      <c r="L17" s="153"/>
      <c r="M17" s="153"/>
      <c r="N17" s="153"/>
      <c r="O17" s="188" t="s">
        <v>34</v>
      </c>
    </row>
    <row r="18" spans="1:15" s="189" customFormat="1" x14ac:dyDescent="0.35">
      <c r="A18" s="185" t="s">
        <v>53</v>
      </c>
      <c r="B18" s="186"/>
      <c r="C18" s="187">
        <v>13647954.789999999</v>
      </c>
      <c r="D18" s="187">
        <f t="shared" si="2"/>
        <v>748769945.16139281</v>
      </c>
      <c r="E18" s="190"/>
      <c r="F18" s="187">
        <f t="shared" si="0"/>
        <v>-748769945.16139281</v>
      </c>
      <c r="G18" s="187">
        <v>896696.99999999988</v>
      </c>
      <c r="H18" s="187">
        <v>149449.5</v>
      </c>
      <c r="I18" s="187">
        <f t="shared" si="1"/>
        <v>12900707.289999999</v>
      </c>
      <c r="J18" s="153" t="s">
        <v>35</v>
      </c>
      <c r="K18" s="153"/>
      <c r="L18" s="153"/>
      <c r="M18" s="153"/>
      <c r="N18" s="153"/>
      <c r="O18" s="188" t="s">
        <v>34</v>
      </c>
    </row>
    <row r="19" spans="1:15" s="24" customFormat="1" x14ac:dyDescent="0.35">
      <c r="A19" s="134" t="s">
        <v>11</v>
      </c>
      <c r="B19" s="135" t="s">
        <v>382</v>
      </c>
      <c r="C19" s="158">
        <v>27443551</v>
      </c>
      <c r="D19" s="158">
        <f t="shared" si="2"/>
        <v>776213496.16139281</v>
      </c>
      <c r="E19" s="158">
        <v>776131316</v>
      </c>
      <c r="F19" s="157">
        <f t="shared" si="0"/>
        <v>-82180.161392807961</v>
      </c>
      <c r="G19" s="158">
        <v>3807662.5982142854</v>
      </c>
      <c r="H19" s="158">
        <v>634610.43000000005</v>
      </c>
      <c r="I19" s="158">
        <f t="shared" si="1"/>
        <v>24270498.831785716</v>
      </c>
      <c r="J19" s="137" t="s">
        <v>35</v>
      </c>
      <c r="K19" s="137" t="s">
        <v>43</v>
      </c>
      <c r="L19" s="137" t="s">
        <v>32</v>
      </c>
      <c r="M19" s="137"/>
      <c r="N19" s="137"/>
      <c r="O19" s="179" t="s">
        <v>34</v>
      </c>
    </row>
    <row r="20" spans="1:15" s="189" customFormat="1" x14ac:dyDescent="0.35">
      <c r="A20" s="185" t="s">
        <v>64</v>
      </c>
      <c r="B20" s="153"/>
      <c r="C20" s="187">
        <v>8760390.7799999993</v>
      </c>
      <c r="D20" s="190">
        <f t="shared" si="2"/>
        <v>784973886.94139278</v>
      </c>
      <c r="E20" s="190"/>
      <c r="F20" s="187">
        <f t="shared" si="0"/>
        <v>-784973886.94139278</v>
      </c>
      <c r="G20" s="187">
        <v>584570.25</v>
      </c>
      <c r="H20" s="187">
        <v>97428.38</v>
      </c>
      <c r="I20" s="187">
        <f t="shared" si="1"/>
        <v>8273248.9100000001</v>
      </c>
      <c r="J20" s="153" t="s">
        <v>35</v>
      </c>
      <c r="K20" s="153"/>
      <c r="L20" s="153"/>
      <c r="M20" s="153"/>
      <c r="N20" s="153"/>
      <c r="O20" s="188" t="s">
        <v>34</v>
      </c>
    </row>
    <row r="21" spans="1:15" s="24" customFormat="1" x14ac:dyDescent="0.35">
      <c r="A21" s="134" t="s">
        <v>12</v>
      </c>
      <c r="B21" s="137" t="s">
        <v>364</v>
      </c>
      <c r="C21" s="158">
        <v>40640792.229999997</v>
      </c>
      <c r="D21" s="158">
        <f t="shared" si="2"/>
        <v>825614679.1713928</v>
      </c>
      <c r="E21" s="158">
        <v>825532499</v>
      </c>
      <c r="F21" s="157">
        <f t="shared" si="0"/>
        <v>-82180.171392798424</v>
      </c>
      <c r="G21" s="158">
        <v>5554641.7714285711</v>
      </c>
      <c r="H21" s="158">
        <v>925773.63</v>
      </c>
      <c r="I21" s="158">
        <f t="shared" si="1"/>
        <v>36011924.088571429</v>
      </c>
      <c r="J21" s="137" t="s">
        <v>35</v>
      </c>
      <c r="K21" s="137" t="s">
        <v>43</v>
      </c>
      <c r="L21" s="137" t="s">
        <v>32</v>
      </c>
      <c r="M21" s="137"/>
      <c r="N21" s="137"/>
      <c r="O21" s="179" t="s">
        <v>34</v>
      </c>
    </row>
    <row r="22" spans="1:15" s="24" customFormat="1" x14ac:dyDescent="0.35">
      <c r="A22" s="134" t="s">
        <v>383</v>
      </c>
      <c r="B22" s="137" t="s">
        <v>365</v>
      </c>
      <c r="C22" s="158">
        <v>35233462</v>
      </c>
      <c r="D22" s="158">
        <f t="shared" si="2"/>
        <v>860848141.1713928</v>
      </c>
      <c r="E22" s="158">
        <v>860765961</v>
      </c>
      <c r="F22" s="157">
        <f t="shared" si="0"/>
        <v>-82180.171392798424</v>
      </c>
      <c r="G22" s="158">
        <v>3896577.5207142849</v>
      </c>
      <c r="H22" s="158">
        <v>649429.59</v>
      </c>
      <c r="I22" s="158">
        <f t="shared" si="1"/>
        <v>31986314.069285721</v>
      </c>
      <c r="J22" s="137" t="s">
        <v>35</v>
      </c>
      <c r="K22" s="137" t="s">
        <v>43</v>
      </c>
      <c r="L22" s="137" t="s">
        <v>271</v>
      </c>
      <c r="M22" s="137"/>
      <c r="N22" s="137"/>
      <c r="O22" s="179" t="s">
        <v>34</v>
      </c>
    </row>
    <row r="23" spans="1:15" s="189" customFormat="1" x14ac:dyDescent="0.35">
      <c r="A23" s="185" t="s">
        <v>74</v>
      </c>
      <c r="B23" s="153"/>
      <c r="C23" s="187">
        <v>6402466.9199999999</v>
      </c>
      <c r="D23" s="190">
        <f t="shared" si="2"/>
        <v>867250608.09139276</v>
      </c>
      <c r="E23" s="190"/>
      <c r="F23" s="187">
        <f t="shared" si="0"/>
        <v>-867250608.09139276</v>
      </c>
      <c r="G23" s="187">
        <v>398279.46428571426</v>
      </c>
      <c r="H23" s="187">
        <v>66379.91</v>
      </c>
      <c r="I23" s="187">
        <f t="shared" si="1"/>
        <v>6070567.3657142855</v>
      </c>
      <c r="J23" s="153" t="s">
        <v>35</v>
      </c>
      <c r="K23" s="153"/>
      <c r="L23" s="153"/>
      <c r="M23" s="153"/>
      <c r="N23" s="153"/>
      <c r="O23" s="188" t="s">
        <v>34</v>
      </c>
    </row>
    <row r="24" spans="1:15" s="24" customFormat="1" x14ac:dyDescent="0.35">
      <c r="A24" s="134" t="s">
        <v>14</v>
      </c>
      <c r="B24" s="137" t="s">
        <v>384</v>
      </c>
      <c r="C24" s="158">
        <v>11383555</v>
      </c>
      <c r="D24" s="158">
        <f t="shared" si="2"/>
        <v>878634163.09139276</v>
      </c>
      <c r="E24" s="158">
        <v>878551983</v>
      </c>
      <c r="F24" s="157">
        <f t="shared" si="0"/>
        <v>-82180.091392755508</v>
      </c>
      <c r="G24" s="158">
        <v>1531546.7324999997</v>
      </c>
      <c r="H24" s="158">
        <v>255257.79</v>
      </c>
      <c r="I24" s="158">
        <f t="shared" si="1"/>
        <v>10107266.057499999</v>
      </c>
      <c r="J24" s="137" t="s">
        <v>35</v>
      </c>
      <c r="K24" s="137" t="s">
        <v>43</v>
      </c>
      <c r="L24" s="137" t="s">
        <v>271</v>
      </c>
      <c r="M24" s="137"/>
      <c r="N24" s="137"/>
      <c r="O24" s="179" t="s">
        <v>34</v>
      </c>
    </row>
    <row r="25" spans="1:15" s="24" customFormat="1" x14ac:dyDescent="0.35">
      <c r="A25" s="134" t="s">
        <v>69</v>
      </c>
      <c r="B25" s="137" t="s">
        <v>373</v>
      </c>
      <c r="C25" s="158">
        <v>5175689</v>
      </c>
      <c r="D25" s="158">
        <f t="shared" si="2"/>
        <v>883809852.09139276</v>
      </c>
      <c r="E25" s="158">
        <v>883727672</v>
      </c>
      <c r="F25" s="158">
        <f t="shared" si="0"/>
        <v>-82180.091392755508</v>
      </c>
      <c r="G25" s="158">
        <v>218515.60714285713</v>
      </c>
      <c r="H25" s="158">
        <v>36419.269999999997</v>
      </c>
      <c r="I25" s="158">
        <f t="shared" si="1"/>
        <v>4993592.6628571423</v>
      </c>
      <c r="J25" s="137" t="s">
        <v>35</v>
      </c>
      <c r="K25" s="137" t="s">
        <v>43</v>
      </c>
      <c r="L25" s="137" t="s">
        <v>271</v>
      </c>
      <c r="M25" s="137"/>
      <c r="N25" s="137"/>
      <c r="O25" s="179" t="s">
        <v>34</v>
      </c>
    </row>
    <row r="26" spans="1:15" s="24" customFormat="1" x14ac:dyDescent="0.35">
      <c r="A26" s="134" t="s">
        <v>15</v>
      </c>
      <c r="B26" s="137" t="s">
        <v>385</v>
      </c>
      <c r="C26" s="158">
        <v>23801103</v>
      </c>
      <c r="D26" s="158">
        <f t="shared" si="2"/>
        <v>907610955.09139276</v>
      </c>
      <c r="E26" s="158">
        <v>907528775</v>
      </c>
      <c r="F26" s="157">
        <f t="shared" si="0"/>
        <v>-82180.091392755508</v>
      </c>
      <c r="G26" s="158">
        <v>3212431.3714285712</v>
      </c>
      <c r="H26" s="158">
        <v>535405.23</v>
      </c>
      <c r="I26" s="158">
        <f t="shared" si="1"/>
        <v>21124076.858571429</v>
      </c>
      <c r="J26" s="137" t="s">
        <v>35</v>
      </c>
      <c r="K26" s="137" t="s">
        <v>43</v>
      </c>
      <c r="L26" s="137" t="s">
        <v>271</v>
      </c>
      <c r="M26" s="137"/>
      <c r="N26" s="137"/>
      <c r="O26" s="179" t="s">
        <v>34</v>
      </c>
    </row>
    <row r="27" spans="1:15" s="189" customFormat="1" x14ac:dyDescent="0.35">
      <c r="A27" s="185" t="s">
        <v>70</v>
      </c>
      <c r="B27" s="153"/>
      <c r="C27" s="187">
        <v>8239597</v>
      </c>
      <c r="D27" s="190">
        <f t="shared" si="2"/>
        <v>915850552.09139276</v>
      </c>
      <c r="E27" s="190"/>
      <c r="F27" s="187">
        <f t="shared" si="0"/>
        <v>-915850552.09139276</v>
      </c>
      <c r="G27" s="187">
        <v>588472.39285714272</v>
      </c>
      <c r="H27" s="187">
        <v>98078.73</v>
      </c>
      <c r="I27" s="187">
        <f t="shared" si="1"/>
        <v>7749203.3371428577</v>
      </c>
      <c r="J27" s="153" t="s">
        <v>35</v>
      </c>
      <c r="K27" s="153"/>
      <c r="L27" s="153"/>
      <c r="M27" s="153"/>
      <c r="N27" s="153"/>
      <c r="O27" s="188" t="s">
        <v>34</v>
      </c>
    </row>
    <row r="28" spans="1:15" s="24" customFormat="1" x14ac:dyDescent="0.35">
      <c r="A28" s="134" t="s">
        <v>16</v>
      </c>
      <c r="B28" s="137" t="s">
        <v>386</v>
      </c>
      <c r="C28" s="158">
        <v>22444959</v>
      </c>
      <c r="D28" s="158">
        <f t="shared" si="2"/>
        <v>938295511.09139276</v>
      </c>
      <c r="E28" s="158">
        <v>938213331</v>
      </c>
      <c r="F28" s="157">
        <f t="shared" si="0"/>
        <v>-82180.091392755508</v>
      </c>
      <c r="G28" s="158">
        <v>4418591.9094642857</v>
      </c>
      <c r="H28" s="158">
        <v>490954</v>
      </c>
      <c r="I28" s="158">
        <f t="shared" si="1"/>
        <v>18517321.090535715</v>
      </c>
      <c r="J28" s="137" t="s">
        <v>35</v>
      </c>
      <c r="K28" s="137" t="s">
        <v>387</v>
      </c>
      <c r="L28" s="137" t="s">
        <v>388</v>
      </c>
      <c r="M28" s="137"/>
      <c r="N28" s="137"/>
      <c r="O28" s="179" t="s">
        <v>34</v>
      </c>
    </row>
    <row r="29" spans="1:15" s="24" customFormat="1" x14ac:dyDescent="0.35">
      <c r="A29" s="134" t="s">
        <v>71</v>
      </c>
      <c r="B29" s="137" t="s">
        <v>401</v>
      </c>
      <c r="C29" s="158">
        <v>24606397</v>
      </c>
      <c r="D29" s="158">
        <f t="shared" si="2"/>
        <v>962901908.09139276</v>
      </c>
      <c r="E29" s="158">
        <v>962819728</v>
      </c>
      <c r="F29" s="158">
        <f t="shared" si="0"/>
        <v>-82180.091392755508</v>
      </c>
      <c r="G29" s="158">
        <v>855894.85714285704</v>
      </c>
      <c r="H29" s="158">
        <v>95099.43</v>
      </c>
      <c r="I29" s="158">
        <f t="shared" si="1"/>
        <v>23845601.572857141</v>
      </c>
      <c r="J29" s="137" t="s">
        <v>35</v>
      </c>
      <c r="K29" s="137" t="s">
        <v>43</v>
      </c>
      <c r="L29" s="137" t="s">
        <v>388</v>
      </c>
      <c r="M29" s="137"/>
      <c r="N29" s="137"/>
      <c r="O29" s="179" t="s">
        <v>34</v>
      </c>
    </row>
    <row r="30" spans="1:15" s="24" customFormat="1" x14ac:dyDescent="0.35">
      <c r="A30" s="134" t="s">
        <v>17</v>
      </c>
      <c r="B30" s="137" t="s">
        <v>226</v>
      </c>
      <c r="C30" s="158">
        <v>23396353</v>
      </c>
      <c r="D30" s="158">
        <f t="shared" si="2"/>
        <v>986298261.09139276</v>
      </c>
      <c r="E30" s="158">
        <v>986216081</v>
      </c>
      <c r="F30" s="157">
        <f t="shared" si="0"/>
        <v>-82180.091392755508</v>
      </c>
      <c r="G30" s="158">
        <v>4495361.5</v>
      </c>
      <c r="H30" s="158">
        <v>499484.6</v>
      </c>
      <c r="I30" s="158">
        <f t="shared" si="1"/>
        <v>19400476.100000001</v>
      </c>
      <c r="J30" s="137" t="s">
        <v>35</v>
      </c>
      <c r="K30" s="137" t="s">
        <v>43</v>
      </c>
      <c r="L30" s="137" t="s">
        <v>388</v>
      </c>
      <c r="M30" s="137"/>
      <c r="N30" s="137"/>
      <c r="O30" s="179" t="s">
        <v>34</v>
      </c>
    </row>
    <row r="31" spans="1:15" s="24" customFormat="1" x14ac:dyDescent="0.35">
      <c r="A31" s="134" t="s">
        <v>41</v>
      </c>
      <c r="B31" s="135">
        <v>44921</v>
      </c>
      <c r="C31" s="158">
        <v>8475412</v>
      </c>
      <c r="D31" s="158">
        <f t="shared" si="2"/>
        <v>994773673.09139276</v>
      </c>
      <c r="E31" s="158">
        <v>994691493</v>
      </c>
      <c r="F31" s="158">
        <f t="shared" si="0"/>
        <v>-82180.091392755508</v>
      </c>
      <c r="G31" s="158">
        <v>882043.55279999995</v>
      </c>
      <c r="H31" s="158">
        <v>98004.839200000002</v>
      </c>
      <c r="I31" s="158">
        <f t="shared" si="1"/>
        <v>7691373.2863999996</v>
      </c>
      <c r="J31" s="137" t="s">
        <v>35</v>
      </c>
      <c r="K31" s="137" t="s">
        <v>43</v>
      </c>
      <c r="L31" s="137" t="s">
        <v>388</v>
      </c>
      <c r="M31" s="137"/>
      <c r="N31" s="137"/>
      <c r="O31" s="179" t="s">
        <v>34</v>
      </c>
    </row>
    <row r="32" spans="1:15" s="24" customFormat="1" x14ac:dyDescent="0.35">
      <c r="A32" s="134" t="s">
        <v>18</v>
      </c>
      <c r="B32" s="135" t="s">
        <v>389</v>
      </c>
      <c r="C32" s="158">
        <v>36573335</v>
      </c>
      <c r="D32" s="158">
        <f t="shared" si="2"/>
        <v>1031347008.0913928</v>
      </c>
      <c r="E32" s="158">
        <v>1031264828</v>
      </c>
      <c r="F32" s="157">
        <f t="shared" si="0"/>
        <v>-82180.091392755508</v>
      </c>
      <c r="G32" s="158">
        <v>7249326.2028000001</v>
      </c>
      <c r="H32" s="158">
        <v>805480.68920000002</v>
      </c>
      <c r="I32" s="158">
        <f t="shared" ref="I32:I33" si="3">+C32+H32-G32</f>
        <v>30129489.486400001</v>
      </c>
      <c r="J32" s="137" t="s">
        <v>35</v>
      </c>
      <c r="K32" s="137" t="s">
        <v>43</v>
      </c>
      <c r="L32" s="137" t="s">
        <v>388</v>
      </c>
      <c r="M32" s="137"/>
      <c r="N32" s="137"/>
      <c r="O32" s="179" t="s">
        <v>34</v>
      </c>
    </row>
    <row r="33" spans="1:15" s="24" customFormat="1" x14ac:dyDescent="0.35">
      <c r="A33" s="134" t="s">
        <v>42</v>
      </c>
      <c r="B33" s="135" t="s">
        <v>402</v>
      </c>
      <c r="C33" s="158">
        <v>24432589</v>
      </c>
      <c r="D33" s="158">
        <f t="shared" si="2"/>
        <v>1055779597.0913928</v>
      </c>
      <c r="E33" s="158">
        <v>1055697417</v>
      </c>
      <c r="F33" s="158">
        <f t="shared" si="0"/>
        <v>-82180.091392755508</v>
      </c>
      <c r="G33" s="158">
        <v>1560402</v>
      </c>
      <c r="H33" s="158">
        <v>173378</v>
      </c>
      <c r="I33" s="158">
        <f t="shared" si="3"/>
        <v>23045565</v>
      </c>
      <c r="J33" s="137" t="s">
        <v>35</v>
      </c>
      <c r="K33" s="137" t="s">
        <v>43</v>
      </c>
      <c r="L33" s="137" t="s">
        <v>388</v>
      </c>
      <c r="M33" s="137"/>
      <c r="N33" s="137"/>
      <c r="O33" s="179" t="s">
        <v>34</v>
      </c>
    </row>
    <row r="34" spans="1:15" s="24" customFormat="1" x14ac:dyDescent="0.35">
      <c r="A34" s="134" t="s">
        <v>19</v>
      </c>
      <c r="B34" s="135" t="s">
        <v>369</v>
      </c>
      <c r="C34" s="158">
        <v>20186579</v>
      </c>
      <c r="D34" s="158">
        <f t="shared" si="2"/>
        <v>1075966176.0913928</v>
      </c>
      <c r="E34" s="158">
        <v>1075883996</v>
      </c>
      <c r="F34" s="157">
        <f t="shared" si="0"/>
        <v>-82180.091392755508</v>
      </c>
      <c r="G34" s="158">
        <v>4006998.8711999999</v>
      </c>
      <c r="H34" s="158">
        <v>445222.0968</v>
      </c>
      <c r="I34" s="158">
        <f t="shared" ref="I34:I65" si="4">+C34+H34-G34</f>
        <v>16624802.2256</v>
      </c>
      <c r="J34" s="137" t="s">
        <v>35</v>
      </c>
      <c r="K34" s="137" t="s">
        <v>43</v>
      </c>
      <c r="L34" s="137" t="s">
        <v>388</v>
      </c>
      <c r="M34" s="137"/>
      <c r="N34" s="137"/>
      <c r="O34" s="179" t="s">
        <v>34</v>
      </c>
    </row>
    <row r="35" spans="1:15" s="189" customFormat="1" x14ac:dyDescent="0.35">
      <c r="A35" s="185" t="s">
        <v>54</v>
      </c>
      <c r="B35" s="186">
        <v>44985</v>
      </c>
      <c r="C35" s="187">
        <v>7457114</v>
      </c>
      <c r="D35" s="190">
        <f t="shared" si="2"/>
        <v>1083423290.0913928</v>
      </c>
      <c r="E35" s="190"/>
      <c r="F35" s="187">
        <f t="shared" si="0"/>
        <v>-1083423290.0913928</v>
      </c>
      <c r="G35" s="187">
        <v>770656.5</v>
      </c>
      <c r="H35" s="187">
        <v>85628.5</v>
      </c>
      <c r="I35" s="187">
        <f t="shared" si="4"/>
        <v>6772086</v>
      </c>
      <c r="J35" s="153" t="s">
        <v>35</v>
      </c>
      <c r="K35" s="153"/>
      <c r="L35" s="153"/>
      <c r="M35" s="153"/>
      <c r="N35" s="153"/>
      <c r="O35" s="188" t="s">
        <v>34</v>
      </c>
    </row>
    <row r="36" spans="1:15" s="189" customFormat="1" x14ac:dyDescent="0.35">
      <c r="A36" s="185" t="s">
        <v>55</v>
      </c>
      <c r="B36" s="186">
        <v>44994</v>
      </c>
      <c r="C36" s="187">
        <v>51011433</v>
      </c>
      <c r="D36" s="190">
        <f t="shared" si="2"/>
        <v>1134434723.0913928</v>
      </c>
      <c r="E36" s="190"/>
      <c r="F36" s="187">
        <f t="shared" si="0"/>
        <v>-1134434723.0913928</v>
      </c>
      <c r="G36" s="187">
        <v>9761211.9467999991</v>
      </c>
      <c r="H36" s="187">
        <v>1084579.1051999999</v>
      </c>
      <c r="I36" s="187">
        <f t="shared" si="4"/>
        <v>42334800.158399999</v>
      </c>
      <c r="J36" s="153" t="s">
        <v>35</v>
      </c>
      <c r="K36" s="153"/>
      <c r="L36" s="153"/>
      <c r="M36" s="153"/>
      <c r="N36" s="153"/>
      <c r="O36" s="188" t="s">
        <v>34</v>
      </c>
    </row>
    <row r="37" spans="1:15" s="24" customFormat="1" x14ac:dyDescent="0.35">
      <c r="A37" s="134" t="s">
        <v>56</v>
      </c>
      <c r="B37" s="135" t="s">
        <v>403</v>
      </c>
      <c r="C37" s="158">
        <v>20113455</v>
      </c>
      <c r="D37" s="158">
        <f t="shared" si="2"/>
        <v>1154548178.0913928</v>
      </c>
      <c r="E37" s="158">
        <v>1154465998</v>
      </c>
      <c r="F37" s="158">
        <f t="shared" si="0"/>
        <v>-82180.091392755508</v>
      </c>
      <c r="G37" s="158">
        <v>2188086</v>
      </c>
      <c r="H37" s="158">
        <v>243121</v>
      </c>
      <c r="I37" s="158">
        <f t="shared" si="4"/>
        <v>18168490</v>
      </c>
      <c r="J37" s="137" t="s">
        <v>35</v>
      </c>
      <c r="K37" s="137" t="s">
        <v>43</v>
      </c>
      <c r="L37" s="137" t="s">
        <v>388</v>
      </c>
      <c r="M37" s="137"/>
      <c r="N37" s="137"/>
      <c r="O37" s="179" t="s">
        <v>34</v>
      </c>
    </row>
    <row r="38" spans="1:15" s="24" customFormat="1" x14ac:dyDescent="0.35">
      <c r="A38" s="134" t="s">
        <v>57</v>
      </c>
      <c r="B38" s="135" t="s">
        <v>230</v>
      </c>
      <c r="C38" s="158">
        <v>76442944</v>
      </c>
      <c r="D38" s="158">
        <f t="shared" si="2"/>
        <v>1230991122.0913928</v>
      </c>
      <c r="E38" s="158">
        <v>1230908942</v>
      </c>
      <c r="F38" s="157">
        <f t="shared" si="0"/>
        <v>-82180.091392755508</v>
      </c>
      <c r="G38" s="158">
        <v>16105328</v>
      </c>
      <c r="H38" s="158">
        <v>1789481</v>
      </c>
      <c r="I38" s="158">
        <f t="shared" si="4"/>
        <v>62127097</v>
      </c>
      <c r="J38" s="137" t="s">
        <v>35</v>
      </c>
      <c r="K38" s="137" t="s">
        <v>43</v>
      </c>
      <c r="L38" s="137" t="s">
        <v>388</v>
      </c>
      <c r="M38" s="137"/>
      <c r="N38" s="137"/>
      <c r="O38" s="179" t="s">
        <v>34</v>
      </c>
    </row>
    <row r="39" spans="1:15" s="24" customFormat="1" x14ac:dyDescent="0.35">
      <c r="A39" s="134" t="s">
        <v>87</v>
      </c>
      <c r="B39" s="135" t="s">
        <v>404</v>
      </c>
      <c r="C39" s="158">
        <v>38005175</v>
      </c>
      <c r="D39" s="158">
        <f t="shared" si="2"/>
        <v>1268996297.0913928</v>
      </c>
      <c r="E39" s="158">
        <v>1268914117</v>
      </c>
      <c r="F39" s="158">
        <f t="shared" si="0"/>
        <v>-82180.091392755508</v>
      </c>
      <c r="G39" s="158">
        <v>3565416.54</v>
      </c>
      <c r="H39" s="158">
        <v>396157.39</v>
      </c>
      <c r="I39" s="158">
        <f t="shared" si="4"/>
        <v>34835915.850000001</v>
      </c>
      <c r="J39" s="137" t="s">
        <v>35</v>
      </c>
      <c r="K39" s="137" t="s">
        <v>43</v>
      </c>
      <c r="L39" s="137" t="s">
        <v>388</v>
      </c>
      <c r="M39" s="137"/>
      <c r="N39" s="137"/>
      <c r="O39" s="179" t="s">
        <v>34</v>
      </c>
    </row>
    <row r="40" spans="1:15" s="24" customFormat="1" x14ac:dyDescent="0.35">
      <c r="A40" s="134" t="s">
        <v>88</v>
      </c>
      <c r="B40" s="135" t="s">
        <v>390</v>
      </c>
      <c r="C40" s="158">
        <v>70043163</v>
      </c>
      <c r="D40" s="158">
        <f t="shared" si="2"/>
        <v>1339039460.0913928</v>
      </c>
      <c r="E40" s="158">
        <v>1338957280</v>
      </c>
      <c r="F40" s="157">
        <f t="shared" si="0"/>
        <v>-82180.091392755508</v>
      </c>
      <c r="G40" s="158">
        <v>13167749.460000001</v>
      </c>
      <c r="H40" s="158">
        <v>1463083</v>
      </c>
      <c r="I40" s="158">
        <f t="shared" si="4"/>
        <v>58338496.539999999</v>
      </c>
      <c r="J40" s="137" t="s">
        <v>35</v>
      </c>
      <c r="K40" s="137" t="s">
        <v>43</v>
      </c>
      <c r="L40" s="137" t="s">
        <v>388</v>
      </c>
      <c r="M40" s="137"/>
      <c r="N40" s="137"/>
      <c r="O40" s="179" t="s">
        <v>34</v>
      </c>
    </row>
    <row r="41" spans="1:15" s="24" customFormat="1" x14ac:dyDescent="0.35">
      <c r="A41" s="134" t="s">
        <v>89</v>
      </c>
      <c r="B41" s="135" t="s">
        <v>405</v>
      </c>
      <c r="C41" s="158">
        <v>42675250</v>
      </c>
      <c r="D41" s="158">
        <f t="shared" si="2"/>
        <v>1381714710.0913928</v>
      </c>
      <c r="E41" s="158">
        <v>1381632530</v>
      </c>
      <c r="F41" s="158">
        <f t="shared" si="0"/>
        <v>-82180.091392755508</v>
      </c>
      <c r="G41" s="158">
        <f>1520976.78*2</f>
        <v>3041953.56</v>
      </c>
      <c r="H41" s="158">
        <v>337994.84</v>
      </c>
      <c r="I41" s="158">
        <f t="shared" si="4"/>
        <v>39971291.280000001</v>
      </c>
      <c r="J41" s="137" t="s">
        <v>35</v>
      </c>
      <c r="K41" s="137" t="s">
        <v>43</v>
      </c>
      <c r="L41" s="137" t="s">
        <v>388</v>
      </c>
      <c r="M41" s="137"/>
      <c r="N41" s="137"/>
      <c r="O41" s="179" t="s">
        <v>34</v>
      </c>
    </row>
    <row r="42" spans="1:15" s="24" customFormat="1" x14ac:dyDescent="0.35">
      <c r="A42" s="134" t="s">
        <v>93</v>
      </c>
      <c r="B42" s="135" t="s">
        <v>186</v>
      </c>
      <c r="C42" s="158">
        <v>41227813</v>
      </c>
      <c r="D42" s="158">
        <f t="shared" si="2"/>
        <v>1422942523.0913928</v>
      </c>
      <c r="E42" s="158">
        <v>1422860343</v>
      </c>
      <c r="F42" s="157">
        <f t="shared" si="0"/>
        <v>-82180.091392755508</v>
      </c>
      <c r="G42" s="158">
        <f>4428921.17*2</f>
        <v>8857842.3399999999</v>
      </c>
      <c r="H42" s="158">
        <v>984204.7</v>
      </c>
      <c r="I42" s="158">
        <f t="shared" si="4"/>
        <v>33354175.360000003</v>
      </c>
      <c r="J42" s="137" t="s">
        <v>35</v>
      </c>
      <c r="K42" s="137" t="s">
        <v>43</v>
      </c>
      <c r="L42" s="137" t="s">
        <v>388</v>
      </c>
      <c r="M42" s="137"/>
      <c r="N42" s="137"/>
      <c r="O42" s="179" t="s">
        <v>34</v>
      </c>
    </row>
    <row r="43" spans="1:15" s="24" customFormat="1" x14ac:dyDescent="0.35">
      <c r="A43" s="134" t="s">
        <v>114</v>
      </c>
      <c r="B43" s="135" t="s">
        <v>406</v>
      </c>
      <c r="C43" s="158">
        <v>18189384</v>
      </c>
      <c r="D43" s="158">
        <f t="shared" si="2"/>
        <v>1441131907.0913928</v>
      </c>
      <c r="E43" s="158">
        <v>1441049727</v>
      </c>
      <c r="F43" s="158">
        <f t="shared" si="0"/>
        <v>-82180.091392755508</v>
      </c>
      <c r="G43" s="158">
        <f>987796.37*2</f>
        <v>1975592.74</v>
      </c>
      <c r="H43" s="158">
        <v>219510.3</v>
      </c>
      <c r="I43" s="158">
        <f t="shared" si="4"/>
        <v>16433301.560000001</v>
      </c>
      <c r="J43" s="137" t="s">
        <v>35</v>
      </c>
      <c r="K43" s="137" t="s">
        <v>43</v>
      </c>
      <c r="L43" s="137" t="s">
        <v>388</v>
      </c>
      <c r="M43" s="137"/>
      <c r="N43" s="137"/>
      <c r="O43" s="179" t="s">
        <v>34</v>
      </c>
    </row>
    <row r="44" spans="1:15" s="24" customFormat="1" x14ac:dyDescent="0.35">
      <c r="A44" s="134" t="s">
        <v>115</v>
      </c>
      <c r="B44" s="135" t="s">
        <v>391</v>
      </c>
      <c r="C44" s="158">
        <v>30650622</v>
      </c>
      <c r="D44" s="158">
        <f t="shared" si="2"/>
        <v>1471782529.0913928</v>
      </c>
      <c r="E44" s="158">
        <v>1471700349</v>
      </c>
      <c r="F44" s="157">
        <f t="shared" si="0"/>
        <v>-82180.091392755508</v>
      </c>
      <c r="G44" s="158">
        <f>2873787.13*2</f>
        <v>5747574.2599999998</v>
      </c>
      <c r="H44" s="158">
        <v>638619.36</v>
      </c>
      <c r="I44" s="158">
        <f t="shared" si="4"/>
        <v>25541667.100000001</v>
      </c>
      <c r="J44" s="137" t="s">
        <v>35</v>
      </c>
      <c r="K44" s="137" t="s">
        <v>43</v>
      </c>
      <c r="L44" s="137" t="s">
        <v>388</v>
      </c>
      <c r="M44" s="137"/>
      <c r="N44" s="137"/>
      <c r="O44" s="179" t="s">
        <v>34</v>
      </c>
    </row>
    <row r="45" spans="1:15" s="24" customFormat="1" x14ac:dyDescent="0.35">
      <c r="A45" s="134" t="s">
        <v>116</v>
      </c>
      <c r="B45" s="135" t="s">
        <v>212</v>
      </c>
      <c r="C45" s="158">
        <v>10537476</v>
      </c>
      <c r="D45" s="158">
        <f t="shared" si="2"/>
        <v>1482320005.0913928</v>
      </c>
      <c r="E45" s="158">
        <v>1482237825</v>
      </c>
      <c r="F45" s="158">
        <f t="shared" si="0"/>
        <v>-82180.091392755508</v>
      </c>
      <c r="G45" s="158">
        <f>540033.67*2</f>
        <v>1080067.3400000001</v>
      </c>
      <c r="H45" s="158">
        <v>120007.48</v>
      </c>
      <c r="I45" s="158">
        <f t="shared" si="4"/>
        <v>9577416.1400000006</v>
      </c>
      <c r="J45" s="137" t="s">
        <v>35</v>
      </c>
      <c r="K45" s="137" t="s">
        <v>43</v>
      </c>
      <c r="L45" s="137" t="s">
        <v>388</v>
      </c>
      <c r="M45" s="137"/>
      <c r="N45" s="137"/>
      <c r="O45" s="179" t="s">
        <v>34</v>
      </c>
    </row>
    <row r="46" spans="1:15" s="24" customFormat="1" x14ac:dyDescent="0.35">
      <c r="A46" s="134" t="s">
        <v>117</v>
      </c>
      <c r="B46" s="135" t="s">
        <v>299</v>
      </c>
      <c r="C46" s="158">
        <v>20576415</v>
      </c>
      <c r="D46" s="158">
        <f t="shared" si="2"/>
        <v>1502896420.0913928</v>
      </c>
      <c r="E46" s="158">
        <v>1502814240</v>
      </c>
      <c r="F46" s="157">
        <f t="shared" si="0"/>
        <v>-82180.091392755508</v>
      </c>
      <c r="G46" s="158">
        <f>1970546.64*2</f>
        <v>3941093.28</v>
      </c>
      <c r="H46" s="158">
        <v>437899.2</v>
      </c>
      <c r="I46" s="158">
        <f t="shared" si="4"/>
        <v>17073220.919999998</v>
      </c>
      <c r="J46" s="137" t="s">
        <v>35</v>
      </c>
      <c r="K46" s="137" t="s">
        <v>43</v>
      </c>
      <c r="L46" s="137" t="s">
        <v>388</v>
      </c>
      <c r="M46" s="137"/>
      <c r="N46" s="137"/>
      <c r="O46" s="179" t="s">
        <v>34</v>
      </c>
    </row>
    <row r="47" spans="1:15" s="24" customFormat="1" x14ac:dyDescent="0.35">
      <c r="A47" s="134" t="s">
        <v>119</v>
      </c>
      <c r="B47" s="135" t="s">
        <v>210</v>
      </c>
      <c r="C47" s="158">
        <v>7369858</v>
      </c>
      <c r="D47" s="158">
        <f t="shared" si="2"/>
        <v>1510266278.0913928</v>
      </c>
      <c r="E47" s="158">
        <v>1510184098</v>
      </c>
      <c r="F47" s="158">
        <f t="shared" si="0"/>
        <v>-82180.091392755508</v>
      </c>
      <c r="G47" s="158">
        <f>381814.15*2</f>
        <v>763628.3</v>
      </c>
      <c r="H47" s="158">
        <v>84847.59</v>
      </c>
      <c r="I47" s="158">
        <f t="shared" si="4"/>
        <v>6691077.29</v>
      </c>
      <c r="J47" s="137" t="s">
        <v>35</v>
      </c>
      <c r="K47" s="137" t="s">
        <v>43</v>
      </c>
      <c r="L47" s="137" t="s">
        <v>388</v>
      </c>
      <c r="M47" s="137"/>
      <c r="N47" s="137"/>
      <c r="O47" s="179" t="s">
        <v>34</v>
      </c>
    </row>
    <row r="48" spans="1:15" s="24" customFormat="1" x14ac:dyDescent="0.35">
      <c r="A48" s="134" t="s">
        <v>120</v>
      </c>
      <c r="B48" s="135" t="s">
        <v>209</v>
      </c>
      <c r="C48" s="158">
        <v>10069507</v>
      </c>
      <c r="D48" s="158">
        <f t="shared" si="2"/>
        <v>1520335785.0913928</v>
      </c>
      <c r="E48" s="158">
        <v>1520253605</v>
      </c>
      <c r="F48" s="157">
        <f t="shared" si="0"/>
        <v>-82180.091392755508</v>
      </c>
      <c r="G48" s="158">
        <f>968482.1*2</f>
        <v>1936964.2</v>
      </c>
      <c r="H48" s="158">
        <v>215218.2</v>
      </c>
      <c r="I48" s="158">
        <f t="shared" si="4"/>
        <v>8347760.9999999991</v>
      </c>
      <c r="J48" s="137" t="s">
        <v>35</v>
      </c>
      <c r="K48" s="137" t="s">
        <v>43</v>
      </c>
      <c r="L48" s="137" t="s">
        <v>388</v>
      </c>
      <c r="M48" s="137"/>
      <c r="N48" s="137"/>
      <c r="O48" s="179" t="s">
        <v>34</v>
      </c>
    </row>
    <row r="49" spans="1:15" s="24" customFormat="1" x14ac:dyDescent="0.35">
      <c r="A49" s="134" t="s">
        <v>121</v>
      </c>
      <c r="B49" s="135" t="s">
        <v>208</v>
      </c>
      <c r="C49" s="158">
        <v>7220698</v>
      </c>
      <c r="D49" s="158">
        <f t="shared" si="2"/>
        <v>1527556483.0913928</v>
      </c>
      <c r="E49" s="158">
        <v>1527474303</v>
      </c>
      <c r="F49" s="158">
        <f t="shared" si="0"/>
        <v>-82180.091392755508</v>
      </c>
      <c r="G49" s="158">
        <f>184396.9*2</f>
        <v>368793.8</v>
      </c>
      <c r="H49" s="158">
        <v>40971</v>
      </c>
      <c r="I49" s="158">
        <f t="shared" si="4"/>
        <v>6892875.2000000002</v>
      </c>
      <c r="J49" s="137" t="s">
        <v>35</v>
      </c>
      <c r="K49" s="137" t="s">
        <v>43</v>
      </c>
      <c r="L49" s="137" t="s">
        <v>388</v>
      </c>
      <c r="M49" s="137"/>
      <c r="N49" s="137"/>
      <c r="O49" s="179" t="s">
        <v>34</v>
      </c>
    </row>
    <row r="50" spans="1:15" s="24" customFormat="1" x14ac:dyDescent="0.35">
      <c r="A50" s="134" t="s">
        <v>174</v>
      </c>
      <c r="B50" s="135" t="s">
        <v>392</v>
      </c>
      <c r="C50" s="158">
        <v>9138280</v>
      </c>
      <c r="D50" s="158">
        <f t="shared" si="2"/>
        <v>1536694763.0913928</v>
      </c>
      <c r="E50" s="158">
        <v>1536612583</v>
      </c>
      <c r="F50" s="157">
        <f t="shared" si="0"/>
        <v>-82180.091392755508</v>
      </c>
      <c r="G50" s="158">
        <f>814140.92*2</f>
        <v>1628281.84</v>
      </c>
      <c r="H50" s="158">
        <v>180920</v>
      </c>
      <c r="I50" s="158">
        <f t="shared" si="4"/>
        <v>7690918.1600000001</v>
      </c>
      <c r="J50" s="137" t="s">
        <v>35</v>
      </c>
      <c r="K50" s="137" t="s">
        <v>43</v>
      </c>
      <c r="L50" s="137" t="s">
        <v>388</v>
      </c>
      <c r="M50" s="137"/>
      <c r="N50" s="137"/>
      <c r="O50" s="179" t="s">
        <v>34</v>
      </c>
    </row>
    <row r="51" spans="1:15" s="24" customFormat="1" x14ac:dyDescent="0.35">
      <c r="A51" s="134" t="s">
        <v>175</v>
      </c>
      <c r="B51" s="135" t="s">
        <v>206</v>
      </c>
      <c r="C51" s="158">
        <v>9023743</v>
      </c>
      <c r="D51" s="158">
        <f t="shared" si="2"/>
        <v>1545718506.0913928</v>
      </c>
      <c r="E51" s="158">
        <v>1545636326</v>
      </c>
      <c r="F51" s="158">
        <f t="shared" si="0"/>
        <v>-82180.091392755508</v>
      </c>
      <c r="G51" s="158">
        <v>0</v>
      </c>
      <c r="H51" s="158">
        <v>0</v>
      </c>
      <c r="I51" s="158">
        <f t="shared" si="4"/>
        <v>9023743</v>
      </c>
      <c r="J51" s="137" t="s">
        <v>35</v>
      </c>
      <c r="K51" s="137" t="s">
        <v>43</v>
      </c>
      <c r="L51" s="137" t="s">
        <v>388</v>
      </c>
      <c r="M51" s="137"/>
      <c r="N51" s="137"/>
      <c r="O51" s="179" t="s">
        <v>34</v>
      </c>
    </row>
    <row r="52" spans="1:15" s="24" customFormat="1" x14ac:dyDescent="0.35">
      <c r="A52" s="134" t="s">
        <v>198</v>
      </c>
      <c r="B52" s="137" t="s">
        <v>216</v>
      </c>
      <c r="C52" s="158">
        <v>40689637</v>
      </c>
      <c r="D52" s="158">
        <f t="shared" si="2"/>
        <v>1586408143.0913928</v>
      </c>
      <c r="E52" s="158">
        <v>1586325963</v>
      </c>
      <c r="F52" s="157">
        <f t="shared" si="0"/>
        <v>-82180.091392755508</v>
      </c>
      <c r="G52" s="158">
        <v>7621571.96</v>
      </c>
      <c r="H52" s="158">
        <v>846841.33</v>
      </c>
      <c r="I52" s="158">
        <f t="shared" si="4"/>
        <v>33914906.369999997</v>
      </c>
      <c r="J52" s="137" t="s">
        <v>35</v>
      </c>
      <c r="K52" s="137" t="s">
        <v>43</v>
      </c>
      <c r="L52" s="137" t="s">
        <v>388</v>
      </c>
      <c r="M52" s="137"/>
      <c r="N52" s="137"/>
      <c r="O52" s="179" t="s">
        <v>34</v>
      </c>
    </row>
    <row r="53" spans="1:15" s="24" customFormat="1" x14ac:dyDescent="0.35">
      <c r="A53" s="134" t="s">
        <v>199</v>
      </c>
      <c r="B53" s="137" t="s">
        <v>217</v>
      </c>
      <c r="C53" s="158">
        <v>14780543</v>
      </c>
      <c r="D53" s="158">
        <f t="shared" si="2"/>
        <v>1601188686.0913928</v>
      </c>
      <c r="E53" s="158">
        <v>1601106506</v>
      </c>
      <c r="F53" s="158">
        <f t="shared" si="0"/>
        <v>-82180.091392755508</v>
      </c>
      <c r="G53" s="158">
        <v>1558541.74</v>
      </c>
      <c r="H53" s="158">
        <v>173171.3</v>
      </c>
      <c r="I53" s="158">
        <f t="shared" si="4"/>
        <v>13395172.560000001</v>
      </c>
      <c r="J53" s="137" t="s">
        <v>35</v>
      </c>
      <c r="K53" s="137" t="s">
        <v>43</v>
      </c>
      <c r="L53" s="137" t="s">
        <v>388</v>
      </c>
      <c r="M53" s="137"/>
      <c r="N53" s="137"/>
      <c r="O53" s="179" t="s">
        <v>34</v>
      </c>
    </row>
    <row r="54" spans="1:15" s="24" customFormat="1" x14ac:dyDescent="0.35">
      <c r="A54" s="134" t="s">
        <v>200</v>
      </c>
      <c r="B54" s="137" t="s">
        <v>217</v>
      </c>
      <c r="C54" s="158">
        <v>40415948</v>
      </c>
      <c r="D54" s="158">
        <f t="shared" si="2"/>
        <v>1641604634.0913928</v>
      </c>
      <c r="E54" s="158">
        <v>1641522454</v>
      </c>
      <c r="F54" s="157">
        <f t="shared" si="0"/>
        <v>-82180.091392755508</v>
      </c>
      <c r="G54" s="158">
        <v>7188607.4199999999</v>
      </c>
      <c r="H54" s="158">
        <v>798734.15</v>
      </c>
      <c r="I54" s="158">
        <f t="shared" si="4"/>
        <v>34026074.729999997</v>
      </c>
      <c r="J54" s="137" t="s">
        <v>35</v>
      </c>
      <c r="K54" s="137" t="s">
        <v>43</v>
      </c>
      <c r="L54" s="137" t="s">
        <v>388</v>
      </c>
      <c r="M54" s="137"/>
      <c r="N54" s="137"/>
      <c r="O54" s="179" t="s">
        <v>34</v>
      </c>
    </row>
    <row r="55" spans="1:15" s="24" customFormat="1" x14ac:dyDescent="0.35">
      <c r="A55" s="134" t="s">
        <v>201</v>
      </c>
      <c r="B55" s="137" t="s">
        <v>218</v>
      </c>
      <c r="C55" s="158">
        <v>14179666</v>
      </c>
      <c r="D55" s="158">
        <f t="shared" si="2"/>
        <v>1655784300.0913928</v>
      </c>
      <c r="E55" s="158">
        <v>1655702120</v>
      </c>
      <c r="F55" s="158">
        <f t="shared" si="0"/>
        <v>-82180.091392755508</v>
      </c>
      <c r="G55" s="158">
        <v>1508039.2</v>
      </c>
      <c r="H55" s="158">
        <v>167559.91</v>
      </c>
      <c r="I55" s="158">
        <f t="shared" si="4"/>
        <v>12839186.710000001</v>
      </c>
      <c r="J55" s="137" t="s">
        <v>35</v>
      </c>
      <c r="K55" s="137" t="s">
        <v>43</v>
      </c>
      <c r="L55" s="137" t="s">
        <v>388</v>
      </c>
      <c r="M55" s="137"/>
      <c r="N55" s="137"/>
      <c r="O55" s="179" t="s">
        <v>34</v>
      </c>
    </row>
    <row r="56" spans="1:15" s="24" customFormat="1" x14ac:dyDescent="0.35">
      <c r="A56" s="134" t="s">
        <v>202</v>
      </c>
      <c r="B56" s="137" t="s">
        <v>219</v>
      </c>
      <c r="C56" s="158">
        <v>24442652</v>
      </c>
      <c r="D56" s="158">
        <f t="shared" si="2"/>
        <v>1680226952.0913928</v>
      </c>
      <c r="E56" s="158">
        <v>1680144772</v>
      </c>
      <c r="F56" s="157">
        <f t="shared" si="0"/>
        <v>-82180.091392755508</v>
      </c>
      <c r="G56" s="158">
        <v>4589238.62</v>
      </c>
      <c r="H56" s="158">
        <v>509915.4</v>
      </c>
      <c r="I56" s="158">
        <f t="shared" si="4"/>
        <v>20363328.779999997</v>
      </c>
      <c r="J56" s="137" t="s">
        <v>35</v>
      </c>
      <c r="K56" s="137" t="s">
        <v>43</v>
      </c>
      <c r="L56" s="137" t="s">
        <v>388</v>
      </c>
      <c r="M56" s="137"/>
      <c r="N56" s="137"/>
      <c r="O56" s="179" t="s">
        <v>34</v>
      </c>
    </row>
    <row r="57" spans="1:15" s="24" customFormat="1" x14ac:dyDescent="0.35">
      <c r="A57" s="134" t="s">
        <v>203</v>
      </c>
      <c r="B57" s="137" t="s">
        <v>220</v>
      </c>
      <c r="C57" s="158">
        <v>14082848</v>
      </c>
      <c r="D57" s="158">
        <f t="shared" si="2"/>
        <v>1694309800.0913928</v>
      </c>
      <c r="E57" s="158">
        <v>1694227620</v>
      </c>
      <c r="F57" s="158">
        <f t="shared" si="0"/>
        <v>-82180.091392755508</v>
      </c>
      <c r="G57" s="158">
        <v>969783.76</v>
      </c>
      <c r="H57" s="158">
        <v>107753.75</v>
      </c>
      <c r="I57" s="158">
        <f t="shared" si="4"/>
        <v>13220817.99</v>
      </c>
      <c r="J57" s="137" t="s">
        <v>35</v>
      </c>
      <c r="K57" s="137" t="s">
        <v>43</v>
      </c>
      <c r="L57" s="137" t="s">
        <v>388</v>
      </c>
      <c r="M57" s="137"/>
      <c r="N57" s="137"/>
      <c r="O57" s="179" t="s">
        <v>34</v>
      </c>
    </row>
    <row r="58" spans="1:15" s="24" customFormat="1" x14ac:dyDescent="0.35">
      <c r="A58" s="134" t="s">
        <v>204</v>
      </c>
      <c r="B58" s="137" t="s">
        <v>221</v>
      </c>
      <c r="C58" s="158">
        <v>13329293</v>
      </c>
      <c r="D58" s="158">
        <f t="shared" si="2"/>
        <v>1707639093.0913928</v>
      </c>
      <c r="E58" s="158">
        <v>1707556913</v>
      </c>
      <c r="F58" s="157">
        <f t="shared" si="0"/>
        <v>-82180.091392755508</v>
      </c>
      <c r="G58" s="158">
        <v>2498843.94</v>
      </c>
      <c r="H58" s="158">
        <v>277649.33</v>
      </c>
      <c r="I58" s="158">
        <f t="shared" si="4"/>
        <v>11108098.390000001</v>
      </c>
      <c r="J58" s="137" t="s">
        <v>35</v>
      </c>
      <c r="K58" s="137" t="s">
        <v>43</v>
      </c>
      <c r="L58" s="137" t="s">
        <v>388</v>
      </c>
      <c r="M58" s="137"/>
      <c r="N58" s="137"/>
      <c r="O58" s="179" t="s">
        <v>34</v>
      </c>
    </row>
    <row r="59" spans="1:15" s="24" customFormat="1" x14ac:dyDescent="0.35">
      <c r="A59" s="134" t="s">
        <v>205</v>
      </c>
      <c r="B59" s="137" t="s">
        <v>221</v>
      </c>
      <c r="C59" s="158">
        <v>5085525</v>
      </c>
      <c r="D59" s="158">
        <f t="shared" si="2"/>
        <v>1712724618.0913928</v>
      </c>
      <c r="E59" s="158">
        <v>1712642438</v>
      </c>
      <c r="F59" s="158">
        <f t="shared" si="0"/>
        <v>-82180.091392755508</v>
      </c>
      <c r="G59" s="158">
        <v>549142</v>
      </c>
      <c r="H59" s="158">
        <v>61015.82</v>
      </c>
      <c r="I59" s="158">
        <f t="shared" si="4"/>
        <v>4597398.82</v>
      </c>
      <c r="J59" s="137" t="s">
        <v>35</v>
      </c>
      <c r="K59" s="137" t="s">
        <v>43</v>
      </c>
      <c r="L59" s="137" t="s">
        <v>388</v>
      </c>
      <c r="M59" s="137"/>
      <c r="N59" s="137"/>
      <c r="O59" s="179" t="s">
        <v>34</v>
      </c>
    </row>
    <row r="60" spans="1:15" s="24" customFormat="1" x14ac:dyDescent="0.35">
      <c r="A60" s="134" t="s">
        <v>288</v>
      </c>
      <c r="B60" s="137" t="s">
        <v>393</v>
      </c>
      <c r="C60" s="158">
        <v>49768439</v>
      </c>
      <c r="D60" s="158">
        <f t="shared" si="2"/>
        <v>1762493057.0913928</v>
      </c>
      <c r="E60" s="158">
        <v>1762410877</v>
      </c>
      <c r="F60" s="158">
        <f t="shared" si="0"/>
        <v>-82180.091392755508</v>
      </c>
      <c r="G60" s="158">
        <v>10010562</v>
      </c>
      <c r="H60" s="158">
        <v>1112284.7</v>
      </c>
      <c r="I60" s="158">
        <f t="shared" si="4"/>
        <v>40870161.700000003</v>
      </c>
      <c r="J60" s="137" t="s">
        <v>35</v>
      </c>
      <c r="K60" s="137" t="s">
        <v>43</v>
      </c>
      <c r="L60" s="137" t="s">
        <v>388</v>
      </c>
      <c r="M60" s="137"/>
      <c r="N60" s="137"/>
      <c r="O60" s="179" t="s">
        <v>34</v>
      </c>
    </row>
    <row r="61" spans="1:15" s="24" customFormat="1" x14ac:dyDescent="0.35">
      <c r="A61" s="134" t="s">
        <v>292</v>
      </c>
      <c r="B61" s="137" t="s">
        <v>407</v>
      </c>
      <c r="C61" s="158">
        <v>19889105</v>
      </c>
      <c r="D61" s="158">
        <f t="shared" ref="D61:D62" si="5">+D60+C61</f>
        <v>1782382162.0913928</v>
      </c>
      <c r="E61" s="158">
        <v>1782299982</v>
      </c>
      <c r="F61" s="158">
        <f t="shared" ref="F61" si="6">E61-D61</f>
        <v>-82180.091392755508</v>
      </c>
      <c r="G61" s="158">
        <v>2122825</v>
      </c>
      <c r="H61" s="158">
        <v>235869.48</v>
      </c>
      <c r="I61" s="158">
        <f t="shared" si="4"/>
        <v>18002149.48</v>
      </c>
      <c r="J61" s="137" t="s">
        <v>35</v>
      </c>
      <c r="K61" s="137" t="s">
        <v>43</v>
      </c>
      <c r="L61" s="137" t="s">
        <v>388</v>
      </c>
      <c r="M61" s="137"/>
      <c r="N61" s="137"/>
      <c r="O61" s="179" t="s">
        <v>34</v>
      </c>
    </row>
    <row r="62" spans="1:15" s="189" customFormat="1" x14ac:dyDescent="0.35">
      <c r="A62" s="185" t="s">
        <v>294</v>
      </c>
      <c r="B62" s="153" t="s">
        <v>394</v>
      </c>
      <c r="C62" s="187">
        <v>56169896</v>
      </c>
      <c r="D62" s="187">
        <f t="shared" si="5"/>
        <v>1838552058.0913928</v>
      </c>
      <c r="E62" s="187">
        <v>1838469878</v>
      </c>
      <c r="F62" s="187">
        <f t="shared" si="0"/>
        <v>-82180.091392755508</v>
      </c>
      <c r="G62" s="187">
        <v>11311993</v>
      </c>
      <c r="H62" s="187">
        <v>1256888</v>
      </c>
      <c r="I62" s="187">
        <f t="shared" si="4"/>
        <v>46114791</v>
      </c>
      <c r="J62" s="153" t="s">
        <v>35</v>
      </c>
      <c r="K62" s="153" t="s">
        <v>43</v>
      </c>
      <c r="L62" s="153" t="s">
        <v>388</v>
      </c>
      <c r="M62" s="153"/>
      <c r="N62" s="153"/>
      <c r="O62" s="188" t="s">
        <v>34</v>
      </c>
    </row>
    <row r="63" spans="1:15" s="24" customFormat="1" x14ac:dyDescent="0.35">
      <c r="A63" s="134" t="s">
        <v>296</v>
      </c>
      <c r="B63" s="137" t="s">
        <v>408</v>
      </c>
      <c r="C63" s="158">
        <v>21654518</v>
      </c>
      <c r="D63" s="158">
        <f t="shared" ref="D63:D68" si="7">+D62+C63</f>
        <v>1860206576.0913928</v>
      </c>
      <c r="E63" s="158">
        <v>1860124396</v>
      </c>
      <c r="F63" s="158">
        <f t="shared" si="0"/>
        <v>-82180.091392755508</v>
      </c>
      <c r="G63" s="158">
        <v>2268139.83</v>
      </c>
      <c r="H63" s="158">
        <v>252015.54</v>
      </c>
      <c r="I63" s="158">
        <f t="shared" si="4"/>
        <v>19638393.710000001</v>
      </c>
      <c r="J63" s="137" t="s">
        <v>35</v>
      </c>
      <c r="K63" s="137" t="s">
        <v>43</v>
      </c>
      <c r="L63" s="137" t="s">
        <v>388</v>
      </c>
      <c r="M63" s="137"/>
      <c r="N63" s="137"/>
      <c r="O63" s="179" t="s">
        <v>34</v>
      </c>
    </row>
    <row r="64" spans="1:15" s="189" customFormat="1" x14ac:dyDescent="0.35">
      <c r="A64" s="185" t="s">
        <v>300</v>
      </c>
      <c r="B64" s="153" t="s">
        <v>395</v>
      </c>
      <c r="C64" s="187">
        <v>39437709</v>
      </c>
      <c r="D64" s="187">
        <f t="shared" si="7"/>
        <v>1899644285.0913928</v>
      </c>
      <c r="E64" s="187">
        <v>1899562105</v>
      </c>
      <c r="F64" s="187">
        <f t="shared" si="0"/>
        <v>-82180.091392755508</v>
      </c>
      <c r="G64" s="187">
        <v>8803415</v>
      </c>
      <c r="H64" s="187">
        <v>978157</v>
      </c>
      <c r="I64" s="187">
        <f t="shared" si="4"/>
        <v>31612451</v>
      </c>
      <c r="J64" s="153" t="s">
        <v>35</v>
      </c>
      <c r="K64" s="153" t="s">
        <v>43</v>
      </c>
      <c r="L64" s="153" t="s">
        <v>388</v>
      </c>
      <c r="M64" s="153"/>
      <c r="N64" s="153"/>
      <c r="O64" s="188" t="s">
        <v>34</v>
      </c>
    </row>
    <row r="65" spans="1:17" s="189" customFormat="1" x14ac:dyDescent="0.35">
      <c r="A65" s="185" t="s">
        <v>301</v>
      </c>
      <c r="B65" s="153" t="s">
        <v>396</v>
      </c>
      <c r="C65" s="187">
        <v>23442370</v>
      </c>
      <c r="D65" s="187">
        <f t="shared" si="7"/>
        <v>1923086655.0913928</v>
      </c>
      <c r="E65" s="187">
        <v>1923004475</v>
      </c>
      <c r="F65" s="187">
        <f t="shared" si="0"/>
        <v>-82180.091392755508</v>
      </c>
      <c r="G65" s="187">
        <v>4743140</v>
      </c>
      <c r="H65" s="187">
        <v>527015.57999999996</v>
      </c>
      <c r="I65" s="187">
        <f t="shared" si="4"/>
        <v>19226245.579999998</v>
      </c>
      <c r="J65" s="153" t="s">
        <v>35</v>
      </c>
      <c r="K65" s="153" t="s">
        <v>397</v>
      </c>
      <c r="L65" s="153" t="s">
        <v>388</v>
      </c>
      <c r="M65" s="153"/>
      <c r="N65" s="153"/>
      <c r="O65" s="188" t="s">
        <v>34</v>
      </c>
    </row>
    <row r="66" spans="1:17" s="189" customFormat="1" x14ac:dyDescent="0.35">
      <c r="A66" s="185" t="s">
        <v>298</v>
      </c>
      <c r="B66" s="153"/>
      <c r="C66" s="187"/>
      <c r="D66" s="187">
        <f t="shared" si="7"/>
        <v>1923086655.0913928</v>
      </c>
      <c r="E66" s="187"/>
      <c r="F66" s="187">
        <f t="shared" si="0"/>
        <v>-1923086655.0913928</v>
      </c>
      <c r="G66" s="187"/>
      <c r="H66" s="187"/>
      <c r="I66" s="187">
        <f t="shared" ref="I66:I68" si="8">+C66+H66-G66</f>
        <v>0</v>
      </c>
      <c r="J66" s="153" t="s">
        <v>35</v>
      </c>
      <c r="K66" s="153"/>
      <c r="L66" s="153" t="s">
        <v>388</v>
      </c>
      <c r="M66" s="153"/>
      <c r="N66" s="153"/>
      <c r="O66" s="188" t="s">
        <v>34</v>
      </c>
    </row>
    <row r="67" spans="1:17" s="189" customFormat="1" x14ac:dyDescent="0.35">
      <c r="A67" s="185" t="s">
        <v>305</v>
      </c>
      <c r="B67" s="153"/>
      <c r="C67" s="187"/>
      <c r="D67" s="187">
        <f t="shared" si="7"/>
        <v>1923086655.0913928</v>
      </c>
      <c r="E67" s="187"/>
      <c r="F67" s="187">
        <f t="shared" si="0"/>
        <v>-1923086655.0913928</v>
      </c>
      <c r="G67" s="187"/>
      <c r="H67" s="187"/>
      <c r="I67" s="187">
        <f t="shared" si="8"/>
        <v>0</v>
      </c>
      <c r="J67" s="153" t="s">
        <v>35</v>
      </c>
      <c r="K67" s="153"/>
      <c r="L67" s="153" t="s">
        <v>388</v>
      </c>
      <c r="M67" s="153"/>
      <c r="N67" s="153"/>
      <c r="O67" s="188" t="s">
        <v>34</v>
      </c>
    </row>
    <row r="68" spans="1:17" s="24" customFormat="1" x14ac:dyDescent="0.35">
      <c r="A68" s="134" t="s">
        <v>303</v>
      </c>
      <c r="B68" s="137" t="s">
        <v>399</v>
      </c>
      <c r="C68" s="158">
        <v>18323649</v>
      </c>
      <c r="D68" s="158">
        <f t="shared" si="7"/>
        <v>1941410304.0913928</v>
      </c>
      <c r="E68" s="158">
        <v>1968229769</v>
      </c>
      <c r="F68" s="158">
        <f t="shared" ref="F68" si="9">E68-D68</f>
        <v>26819464.908607244</v>
      </c>
      <c r="G68" s="158">
        <v>5441288</v>
      </c>
      <c r="H68" s="158">
        <v>604587.6</v>
      </c>
      <c r="I68" s="158">
        <f t="shared" si="8"/>
        <v>13486948.600000001</v>
      </c>
      <c r="J68" s="137" t="s">
        <v>35</v>
      </c>
      <c r="K68" s="137" t="s">
        <v>397</v>
      </c>
      <c r="L68" s="137" t="s">
        <v>388</v>
      </c>
      <c r="M68" s="137"/>
      <c r="N68" s="137"/>
      <c r="O68" s="179" t="s">
        <v>34</v>
      </c>
    </row>
    <row r="69" spans="1:17" s="24" customFormat="1" x14ac:dyDescent="0.35">
      <c r="A69" s="134" t="s">
        <v>307</v>
      </c>
      <c r="B69" s="137" t="s">
        <v>409</v>
      </c>
      <c r="C69" s="158">
        <v>18848683</v>
      </c>
      <c r="D69" s="158">
        <f t="shared" ref="D69:D71" si="10">+D68+C69</f>
        <v>1960258987.0913928</v>
      </c>
      <c r="E69" s="158">
        <v>1987078452</v>
      </c>
      <c r="F69" s="158">
        <f t="shared" ref="F69" si="11">E69-D69</f>
        <v>26819464.908607244</v>
      </c>
      <c r="G69" s="158">
        <v>0</v>
      </c>
      <c r="H69" s="158">
        <v>0</v>
      </c>
      <c r="I69" s="158">
        <f>+C69+H69-G69</f>
        <v>18848683</v>
      </c>
      <c r="J69" s="137" t="s">
        <v>35</v>
      </c>
      <c r="K69" s="137" t="s">
        <v>397</v>
      </c>
      <c r="L69" s="137" t="s">
        <v>388</v>
      </c>
      <c r="M69" s="137"/>
      <c r="N69" s="137"/>
      <c r="O69" s="179" t="s">
        <v>34</v>
      </c>
    </row>
    <row r="70" spans="1:17" s="24" customFormat="1" x14ac:dyDescent="0.35">
      <c r="A70" s="134" t="s">
        <v>311</v>
      </c>
      <c r="B70" s="137" t="s">
        <v>400</v>
      </c>
      <c r="C70" s="158">
        <v>22054758</v>
      </c>
      <c r="D70" s="158">
        <f t="shared" si="10"/>
        <v>1982313745.0913928</v>
      </c>
      <c r="E70" s="158">
        <v>2009133210</v>
      </c>
      <c r="F70" s="158">
        <f t="shared" ref="F70:F72" si="12">E70-D70</f>
        <v>26819464.908607244</v>
      </c>
      <c r="G70" s="158">
        <v>4759998</v>
      </c>
      <c r="H70" s="158">
        <v>528888.69999999995</v>
      </c>
      <c r="I70" s="158">
        <f>+C70+H70-G70</f>
        <v>17823648.699999999</v>
      </c>
      <c r="J70" s="137" t="s">
        <v>35</v>
      </c>
      <c r="K70" s="137" t="s">
        <v>397</v>
      </c>
      <c r="L70" s="137" t="s">
        <v>388</v>
      </c>
      <c r="M70" s="137"/>
      <c r="N70" s="137"/>
      <c r="O70" s="179" t="s">
        <v>34</v>
      </c>
    </row>
    <row r="71" spans="1:17" s="189" customFormat="1" x14ac:dyDescent="0.35">
      <c r="A71" s="185" t="s">
        <v>214</v>
      </c>
      <c r="B71" s="153" t="s">
        <v>215</v>
      </c>
      <c r="C71" s="187">
        <v>6009787</v>
      </c>
      <c r="D71" s="187">
        <f t="shared" si="10"/>
        <v>1988323532.0913928</v>
      </c>
      <c r="E71" s="187"/>
      <c r="F71" s="187">
        <f t="shared" si="12"/>
        <v>-1988323532.0913928</v>
      </c>
      <c r="G71" s="187">
        <v>1372793.82</v>
      </c>
      <c r="H71" s="187">
        <v>152532</v>
      </c>
      <c r="I71" s="187">
        <f>+C71+H71-G71</f>
        <v>4789525.18</v>
      </c>
      <c r="J71" s="153" t="s">
        <v>35</v>
      </c>
      <c r="K71" s="153"/>
      <c r="L71" s="153"/>
      <c r="M71" s="153"/>
      <c r="N71" s="153"/>
      <c r="O71" s="188" t="s">
        <v>34</v>
      </c>
    </row>
    <row r="72" spans="1:17" x14ac:dyDescent="0.35">
      <c r="A72" s="64"/>
      <c r="B72" s="124"/>
      <c r="C72" s="166"/>
      <c r="D72" s="166"/>
      <c r="E72" s="166"/>
      <c r="F72" s="157">
        <f t="shared" si="12"/>
        <v>0</v>
      </c>
      <c r="G72" s="166"/>
      <c r="H72" s="166"/>
      <c r="I72" s="166"/>
      <c r="J72" s="124"/>
      <c r="K72" s="124"/>
      <c r="L72" s="124"/>
      <c r="M72" s="124"/>
      <c r="N72" s="124"/>
      <c r="O72" s="32"/>
    </row>
    <row r="73" spans="1:17" x14ac:dyDescent="0.35">
      <c r="A73" s="64"/>
      <c r="B73" s="124"/>
      <c r="C73" s="166"/>
      <c r="D73" s="183"/>
      <c r="E73" s="183"/>
      <c r="F73" s="183"/>
      <c r="G73" s="166"/>
      <c r="H73" s="166"/>
      <c r="I73" s="166"/>
      <c r="J73" s="124"/>
      <c r="K73" s="124"/>
      <c r="L73" s="124"/>
      <c r="M73" s="124"/>
      <c r="N73" s="124"/>
      <c r="O73" s="32"/>
    </row>
    <row r="74" spans="1:17" x14ac:dyDescent="0.35">
      <c r="A74" s="64"/>
      <c r="B74" s="124"/>
      <c r="C74" s="166"/>
      <c r="D74" s="183"/>
      <c r="E74" s="183"/>
      <c r="F74" s="183"/>
      <c r="G74" s="166"/>
      <c r="H74" s="166"/>
      <c r="I74" s="166"/>
      <c r="J74" s="124"/>
      <c r="K74" s="124"/>
      <c r="L74" s="124"/>
      <c r="M74" s="124"/>
      <c r="N74" s="124"/>
      <c r="O74" s="32"/>
    </row>
    <row r="75" spans="1:17" x14ac:dyDescent="0.35">
      <c r="A75" s="64"/>
      <c r="B75" s="124"/>
      <c r="C75" s="166"/>
      <c r="D75" s="183"/>
      <c r="E75" s="183"/>
      <c r="F75" s="183"/>
      <c r="G75" s="166"/>
      <c r="H75" s="166"/>
      <c r="I75" s="166"/>
      <c r="J75" s="124"/>
      <c r="K75" s="124"/>
      <c r="L75" s="124"/>
      <c r="M75" s="124"/>
      <c r="N75" s="124"/>
      <c r="O75" s="32"/>
    </row>
    <row r="76" spans="1:17" ht="15" thickBot="1" x14ac:dyDescent="0.4">
      <c r="A76" s="64"/>
      <c r="B76" s="124"/>
      <c r="C76" s="166"/>
      <c r="D76" s="166"/>
      <c r="E76" s="166"/>
      <c r="F76" s="166"/>
      <c r="G76" s="166"/>
      <c r="H76" s="166"/>
      <c r="I76" s="166"/>
      <c r="J76" s="124"/>
      <c r="K76" s="124"/>
      <c r="L76" s="124"/>
      <c r="M76" s="124"/>
      <c r="N76" s="124"/>
      <c r="O76" s="32"/>
    </row>
    <row r="77" spans="1:17" s="24" customFormat="1" ht="15" thickBot="1" x14ac:dyDescent="0.4">
      <c r="A77" s="59"/>
      <c r="B77" s="119" t="s">
        <v>75</v>
      </c>
      <c r="C77" s="170">
        <f>SUM(C3:C76)</f>
        <v>1988323532.0913928</v>
      </c>
      <c r="D77" s="170"/>
      <c r="E77" s="170"/>
      <c r="F77" s="170"/>
      <c r="G77" s="170">
        <f>SUM(G3:G76)</f>
        <v>281617169.39413571</v>
      </c>
      <c r="H77" s="170">
        <f>SUM(H3:H76)</f>
        <v>37175810.721114285</v>
      </c>
      <c r="I77" s="170">
        <f>SUM(I3:I76)</f>
        <v>1743882173.4183712</v>
      </c>
      <c r="J77" s="119"/>
      <c r="K77" s="119"/>
      <c r="L77" s="119"/>
      <c r="M77" s="119"/>
      <c r="N77" s="119"/>
      <c r="O77" s="60"/>
    </row>
    <row r="78" spans="1:17" ht="15" thickBot="1" x14ac:dyDescent="0.4">
      <c r="A78" s="174"/>
      <c r="B78" s="175"/>
      <c r="C78" s="176"/>
      <c r="D78" s="176"/>
      <c r="E78" s="176"/>
      <c r="F78" s="176"/>
      <c r="G78" s="176">
        <v>115700234.42</v>
      </c>
      <c r="H78" s="176">
        <v>18740602.52</v>
      </c>
      <c r="I78" s="176"/>
      <c r="J78" s="175"/>
      <c r="K78" s="176"/>
      <c r="L78" s="175"/>
      <c r="M78" s="175"/>
      <c r="N78" s="175"/>
      <c r="O78" s="54"/>
    </row>
    <row r="79" spans="1:17" ht="15" thickBot="1" x14ac:dyDescent="0.4">
      <c r="A79" s="168"/>
      <c r="B79" s="169"/>
      <c r="C79" s="172"/>
      <c r="D79" s="172"/>
      <c r="E79" s="172"/>
      <c r="F79" s="172"/>
      <c r="G79" s="172">
        <f>+G77-G78</f>
        <v>165916934.9741357</v>
      </c>
      <c r="H79" s="172">
        <f>+H77-H78</f>
        <v>18435208.201114286</v>
      </c>
      <c r="I79" s="172"/>
      <c r="J79" s="169"/>
      <c r="K79" s="169"/>
      <c r="L79" s="169"/>
      <c r="M79" s="169"/>
      <c r="N79" s="169"/>
      <c r="O79" s="173"/>
    </row>
    <row r="80" spans="1:17" x14ac:dyDescent="0.35">
      <c r="Q80" s="2">
        <v>9.9999998230487108E-2</v>
      </c>
    </row>
    <row r="81" spans="1:11" x14ac:dyDescent="0.35">
      <c r="A81" s="2" t="s">
        <v>50</v>
      </c>
      <c r="C81" s="8">
        <f>90529922-13325910</f>
        <v>77204012</v>
      </c>
      <c r="D81" s="8"/>
      <c r="E81" s="8"/>
      <c r="F81" s="8"/>
      <c r="G81" s="8"/>
      <c r="H81" s="8"/>
      <c r="I81" s="8"/>
    </row>
    <row r="83" spans="1:11" x14ac:dyDescent="0.35">
      <c r="B83" s="2" t="s">
        <v>51</v>
      </c>
      <c r="C83" s="19">
        <f>C77-C81</f>
        <v>1911119520.0913928</v>
      </c>
      <c r="D83" s="19"/>
      <c r="E83" s="19"/>
      <c r="F83" s="19"/>
      <c r="G83" s="19"/>
      <c r="H83" s="19"/>
      <c r="I83" s="19"/>
    </row>
    <row r="85" spans="1:11" x14ac:dyDescent="0.35">
      <c r="G85" s="21">
        <v>0.01</v>
      </c>
      <c r="H85" s="2" t="s">
        <v>65</v>
      </c>
    </row>
    <row r="86" spans="1:11" s="22" customFormat="1" ht="29" x14ac:dyDescent="0.35">
      <c r="B86" s="20" t="s">
        <v>66</v>
      </c>
      <c r="C86" s="23">
        <f>'PKG-2'!C45+'PKG-3'!C77</f>
        <v>3472068334.2813931</v>
      </c>
      <c r="D86" s="23"/>
      <c r="E86" s="23"/>
      <c r="F86" s="23"/>
      <c r="G86" s="23">
        <f>C86*0.01</f>
        <v>34720683.342813931</v>
      </c>
      <c r="H86" s="22">
        <v>500000</v>
      </c>
      <c r="I86" s="23">
        <f>SUM(G86:H86)</f>
        <v>35220683.342813931</v>
      </c>
      <c r="J86" s="22">
        <v>18500000</v>
      </c>
      <c r="K86" s="23">
        <f>I86-J86</f>
        <v>16720683.342813931</v>
      </c>
    </row>
    <row r="87" spans="1:11" s="22" customFormat="1" x14ac:dyDescent="0.35"/>
    <row r="88" spans="1:11" s="22" customFormat="1" ht="29" x14ac:dyDescent="0.35">
      <c r="B88" s="20" t="s">
        <v>67</v>
      </c>
      <c r="C88" s="23">
        <f>+'PKG-2'!C51+'PKG-3'!C83</f>
        <v>3247074709.3392859</v>
      </c>
      <c r="D88" s="23"/>
      <c r="E88" s="23"/>
      <c r="F88" s="23"/>
      <c r="G88" s="23">
        <f>C88*0.01</f>
        <v>32470747.09339286</v>
      </c>
      <c r="H88" s="22">
        <v>500000</v>
      </c>
      <c r="I88" s="23">
        <f>SUM(G88:H88)</f>
        <v>32970747.09339286</v>
      </c>
      <c r="J88" s="22">
        <v>18500000</v>
      </c>
      <c r="K88" s="23">
        <f>I88-J88</f>
        <v>14470747.09339286</v>
      </c>
    </row>
    <row r="91" spans="1:11" x14ac:dyDescent="0.35">
      <c r="C91" s="8"/>
      <c r="D91" s="8"/>
      <c r="E91" s="8"/>
      <c r="F91" s="8"/>
    </row>
    <row r="92" spans="1:11" x14ac:dyDescent="0.35">
      <c r="C92" s="8"/>
      <c r="D92" s="8"/>
      <c r="E92" s="8"/>
      <c r="F92" s="8"/>
    </row>
    <row r="96" spans="1:11" x14ac:dyDescent="0.35">
      <c r="C96" s="8"/>
      <c r="D96" s="8"/>
      <c r="E96" s="8"/>
      <c r="F96" s="8"/>
      <c r="G96" s="8"/>
      <c r="H96" s="8"/>
      <c r="I96" s="8"/>
    </row>
    <row r="97" spans="3:6" x14ac:dyDescent="0.35">
      <c r="C97" s="8"/>
      <c r="D97" s="8"/>
      <c r="E97" s="8"/>
      <c r="F97" s="8"/>
    </row>
    <row r="98" spans="3:6" x14ac:dyDescent="0.35">
      <c r="C98" s="8"/>
      <c r="D98" s="8"/>
      <c r="E98" s="8"/>
      <c r="F98" s="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4"/>
  <sheetViews>
    <sheetView tabSelected="1" workbookViewId="0">
      <selection activeCell="G11" sqref="G11"/>
    </sheetView>
  </sheetViews>
  <sheetFormatPr defaultRowHeight="14.5" x14ac:dyDescent="0.35"/>
  <cols>
    <col min="1" max="1" width="14.1796875" style="2" bestFit="1" customWidth="1"/>
    <col min="2" max="2" width="10.6328125" style="2" bestFit="1" customWidth="1"/>
    <col min="3" max="3" width="13.90625" style="2" bestFit="1" customWidth="1"/>
    <col min="4" max="6" width="13.90625" style="2" customWidth="1"/>
    <col min="7" max="7" width="16.54296875" style="2" customWidth="1"/>
    <col min="8" max="8" width="14.08984375" bestFit="1" customWidth="1"/>
    <col min="9" max="9" width="22" style="2" customWidth="1"/>
    <col min="10" max="10" width="11.54296875" bestFit="1" customWidth="1"/>
    <col min="11" max="11" width="23.90625" bestFit="1" customWidth="1"/>
    <col min="12" max="12" width="15" bestFit="1" customWidth="1"/>
    <col min="16" max="16" width="11" bestFit="1" customWidth="1"/>
  </cols>
  <sheetData>
    <row r="1" spans="1:12" ht="15" thickBot="1" x14ac:dyDescent="0.4"/>
    <row r="2" spans="1:12" s="5" customFormat="1" ht="29.5" thickBot="1" x14ac:dyDescent="0.4">
      <c r="A2" s="127" t="s">
        <v>20</v>
      </c>
      <c r="B2" s="121" t="s">
        <v>21</v>
      </c>
      <c r="C2" s="121" t="s">
        <v>22</v>
      </c>
      <c r="D2" s="121" t="s">
        <v>241</v>
      </c>
      <c r="E2" s="121" t="s">
        <v>242</v>
      </c>
      <c r="F2" s="121" t="s">
        <v>243</v>
      </c>
      <c r="G2" s="121" t="s">
        <v>23</v>
      </c>
      <c r="H2" s="121" t="s">
        <v>24</v>
      </c>
      <c r="I2" s="121" t="s">
        <v>25</v>
      </c>
      <c r="J2" s="121" t="s">
        <v>25</v>
      </c>
      <c r="K2" s="121" t="s">
        <v>30</v>
      </c>
      <c r="L2" s="122" t="s">
        <v>33</v>
      </c>
    </row>
    <row r="3" spans="1:12" s="4" customFormat="1" x14ac:dyDescent="0.35">
      <c r="A3" s="128" t="s">
        <v>0</v>
      </c>
      <c r="B3" s="129" t="s">
        <v>244</v>
      </c>
      <c r="C3" s="130">
        <v>71050471</v>
      </c>
      <c r="D3" s="130">
        <f>+C3</f>
        <v>71050471</v>
      </c>
      <c r="E3" s="130">
        <v>71050471</v>
      </c>
      <c r="F3" s="130">
        <f>+D3-E3</f>
        <v>0</v>
      </c>
      <c r="G3" s="131" t="s">
        <v>26</v>
      </c>
      <c r="H3" s="132" t="s">
        <v>27</v>
      </c>
      <c r="I3" s="131" t="s">
        <v>32</v>
      </c>
      <c r="J3" s="132" t="s">
        <v>28</v>
      </c>
      <c r="K3" s="132"/>
      <c r="L3" s="133"/>
    </row>
    <row r="4" spans="1:12" s="4" customFormat="1" x14ac:dyDescent="0.35">
      <c r="A4" s="134" t="s">
        <v>1</v>
      </c>
      <c r="B4" s="135" t="s">
        <v>245</v>
      </c>
      <c r="C4" s="136">
        <v>36253472</v>
      </c>
      <c r="D4" s="136">
        <f>+D3+C4</f>
        <v>107303943</v>
      </c>
      <c r="E4" s="136">
        <v>107303943</v>
      </c>
      <c r="F4" s="130">
        <f>+D4-E4</f>
        <v>0</v>
      </c>
      <c r="G4" s="137" t="s">
        <v>26</v>
      </c>
      <c r="H4" s="138" t="s">
        <v>27</v>
      </c>
      <c r="I4" s="137" t="s">
        <v>31</v>
      </c>
      <c r="J4" s="138"/>
      <c r="K4" s="138" t="s">
        <v>29</v>
      </c>
      <c r="L4" s="139"/>
    </row>
    <row r="5" spans="1:12" s="4" customFormat="1" x14ac:dyDescent="0.35">
      <c r="A5" s="134" t="s">
        <v>2</v>
      </c>
      <c r="B5" s="135" t="s">
        <v>246</v>
      </c>
      <c r="C5" s="136">
        <v>35583499</v>
      </c>
      <c r="D5" s="136">
        <f t="shared" ref="D5:D68" si="0">+D4+C5</f>
        <v>142887442</v>
      </c>
      <c r="E5" s="136">
        <v>142887442</v>
      </c>
      <c r="F5" s="130">
        <f t="shared" ref="F5:F68" si="1">+D5-E5</f>
        <v>0</v>
      </c>
      <c r="G5" s="137" t="s">
        <v>26</v>
      </c>
      <c r="H5" s="138" t="s">
        <v>27</v>
      </c>
      <c r="I5" s="137" t="s">
        <v>31</v>
      </c>
      <c r="J5" s="138"/>
      <c r="K5" s="138" t="s">
        <v>29</v>
      </c>
      <c r="L5" s="139"/>
    </row>
    <row r="6" spans="1:12" s="4" customFormat="1" x14ac:dyDescent="0.35">
      <c r="A6" s="134" t="s">
        <v>3</v>
      </c>
      <c r="B6" s="135" t="s">
        <v>247</v>
      </c>
      <c r="C6" s="136">
        <v>18121937</v>
      </c>
      <c r="D6" s="136">
        <f t="shared" si="0"/>
        <v>161009379</v>
      </c>
      <c r="E6" s="136">
        <v>163829718</v>
      </c>
      <c r="F6" s="130">
        <f t="shared" si="1"/>
        <v>-2820339</v>
      </c>
      <c r="G6" s="137" t="s">
        <v>26</v>
      </c>
      <c r="H6" s="138" t="s">
        <v>27</v>
      </c>
      <c r="I6" s="137" t="s">
        <v>32</v>
      </c>
      <c r="J6" s="138"/>
      <c r="K6" s="138"/>
      <c r="L6" s="139"/>
    </row>
    <row r="7" spans="1:12" s="4" customFormat="1" x14ac:dyDescent="0.35">
      <c r="A7" s="134" t="s">
        <v>4</v>
      </c>
      <c r="B7" s="135">
        <v>44099</v>
      </c>
      <c r="C7" s="136">
        <v>44350099</v>
      </c>
      <c r="D7" s="136">
        <f t="shared" si="0"/>
        <v>205359478</v>
      </c>
      <c r="E7" s="136">
        <v>208179817</v>
      </c>
      <c r="F7" s="130">
        <f t="shared" si="1"/>
        <v>-2820339</v>
      </c>
      <c r="G7" s="137" t="s">
        <v>26</v>
      </c>
      <c r="H7" s="138" t="s">
        <v>27</v>
      </c>
      <c r="I7" s="137" t="s">
        <v>32</v>
      </c>
      <c r="J7" s="138"/>
      <c r="K7" s="138"/>
      <c r="L7" s="139" t="s">
        <v>34</v>
      </c>
    </row>
    <row r="8" spans="1:12" s="4" customFormat="1" x14ac:dyDescent="0.35">
      <c r="A8" s="134" t="s">
        <v>5</v>
      </c>
      <c r="B8" s="135" t="s">
        <v>248</v>
      </c>
      <c r="C8" s="136">
        <v>16676874</v>
      </c>
      <c r="D8" s="136">
        <f t="shared" si="0"/>
        <v>222036352</v>
      </c>
      <c r="E8" s="136">
        <v>224856691</v>
      </c>
      <c r="F8" s="130">
        <f t="shared" si="1"/>
        <v>-2820339</v>
      </c>
      <c r="G8" s="137" t="s">
        <v>35</v>
      </c>
      <c r="H8" s="138" t="s">
        <v>36</v>
      </c>
      <c r="I8" s="137" t="s">
        <v>32</v>
      </c>
      <c r="J8" s="138"/>
      <c r="K8" s="138"/>
      <c r="L8" s="139" t="s">
        <v>34</v>
      </c>
    </row>
    <row r="9" spans="1:12" s="4" customFormat="1" x14ac:dyDescent="0.35">
      <c r="A9" s="134" t="s">
        <v>6</v>
      </c>
      <c r="B9" s="135" t="s">
        <v>249</v>
      </c>
      <c r="C9" s="136">
        <v>19948238</v>
      </c>
      <c r="D9" s="136">
        <f t="shared" si="0"/>
        <v>241984590</v>
      </c>
      <c r="E9" s="136">
        <v>244804929</v>
      </c>
      <c r="F9" s="130">
        <f t="shared" si="1"/>
        <v>-2820339</v>
      </c>
      <c r="G9" s="137" t="s">
        <v>35</v>
      </c>
      <c r="H9" s="138" t="s">
        <v>27</v>
      </c>
      <c r="I9" s="137" t="s">
        <v>32</v>
      </c>
      <c r="J9" s="138"/>
      <c r="K9" s="138"/>
      <c r="L9" s="139" t="s">
        <v>34</v>
      </c>
    </row>
    <row r="10" spans="1:12" s="4" customFormat="1" x14ac:dyDescent="0.35">
      <c r="A10" s="134" t="s">
        <v>7</v>
      </c>
      <c r="B10" s="135" t="s">
        <v>250</v>
      </c>
      <c r="C10" s="136">
        <v>26995700</v>
      </c>
      <c r="D10" s="136">
        <f t="shared" si="0"/>
        <v>268980290</v>
      </c>
      <c r="E10" s="136">
        <v>271800629</v>
      </c>
      <c r="F10" s="130">
        <f t="shared" si="1"/>
        <v>-2820339</v>
      </c>
      <c r="G10" s="137" t="s">
        <v>35</v>
      </c>
      <c r="H10" s="138" t="s">
        <v>36</v>
      </c>
      <c r="I10" s="137" t="s">
        <v>32</v>
      </c>
      <c r="J10" s="138"/>
      <c r="K10" s="138"/>
      <c r="L10" s="139" t="s">
        <v>34</v>
      </c>
    </row>
    <row r="11" spans="1:12" s="4" customFormat="1" x14ac:dyDescent="0.35">
      <c r="A11" s="134" t="s">
        <v>8</v>
      </c>
      <c r="B11" s="135" t="s">
        <v>251</v>
      </c>
      <c r="C11" s="136">
        <v>69238886</v>
      </c>
      <c r="D11" s="136">
        <f t="shared" si="0"/>
        <v>338219176</v>
      </c>
      <c r="E11" s="136">
        <v>341039515</v>
      </c>
      <c r="F11" s="130">
        <f t="shared" si="1"/>
        <v>-2820339</v>
      </c>
      <c r="G11" s="137" t="s">
        <v>35</v>
      </c>
      <c r="H11" s="138" t="s">
        <v>36</v>
      </c>
      <c r="I11" s="137" t="s">
        <v>32</v>
      </c>
      <c r="J11" s="138"/>
      <c r="K11" s="138"/>
      <c r="L11" s="139" t="s">
        <v>34</v>
      </c>
    </row>
    <row r="12" spans="1:12" s="4" customFormat="1" x14ac:dyDescent="0.35">
      <c r="A12" s="134" t="s">
        <v>9</v>
      </c>
      <c r="B12" s="135" t="s">
        <v>252</v>
      </c>
      <c r="C12" s="136">
        <v>61473424</v>
      </c>
      <c r="D12" s="136">
        <f t="shared" si="0"/>
        <v>399692600</v>
      </c>
      <c r="E12" s="136">
        <v>402512939</v>
      </c>
      <c r="F12" s="130">
        <f t="shared" si="1"/>
        <v>-2820339</v>
      </c>
      <c r="G12" s="137" t="s">
        <v>35</v>
      </c>
      <c r="H12" s="138" t="s">
        <v>36</v>
      </c>
      <c r="I12" s="137" t="s">
        <v>32</v>
      </c>
      <c r="J12" s="138"/>
      <c r="K12" s="138"/>
      <c r="L12" s="139" t="s">
        <v>34</v>
      </c>
    </row>
    <row r="13" spans="1:12" s="4" customFormat="1" x14ac:dyDescent="0.35">
      <c r="A13" s="134" t="s">
        <v>10</v>
      </c>
      <c r="B13" s="135" t="s">
        <v>253</v>
      </c>
      <c r="C13" s="136">
        <v>10289526</v>
      </c>
      <c r="D13" s="136">
        <f t="shared" si="0"/>
        <v>409982126</v>
      </c>
      <c r="E13" s="136">
        <v>412802565</v>
      </c>
      <c r="F13" s="130">
        <f t="shared" si="1"/>
        <v>-2820439</v>
      </c>
      <c r="G13" s="137" t="s">
        <v>35</v>
      </c>
      <c r="H13" s="138" t="s">
        <v>36</v>
      </c>
      <c r="I13" s="137" t="s">
        <v>32</v>
      </c>
      <c r="J13" s="138"/>
      <c r="K13" s="138"/>
      <c r="L13" s="139" t="s">
        <v>34</v>
      </c>
    </row>
    <row r="14" spans="1:12" s="4" customFormat="1" x14ac:dyDescent="0.35">
      <c r="A14" s="134" t="s">
        <v>11</v>
      </c>
      <c r="B14" s="135" t="s">
        <v>254</v>
      </c>
      <c r="C14" s="136">
        <v>83955038</v>
      </c>
      <c r="D14" s="136">
        <f t="shared" si="0"/>
        <v>493937164</v>
      </c>
      <c r="E14" s="136">
        <v>496757503</v>
      </c>
      <c r="F14" s="130">
        <f t="shared" si="1"/>
        <v>-2820339</v>
      </c>
      <c r="G14" s="137" t="s">
        <v>35</v>
      </c>
      <c r="H14" s="138" t="s">
        <v>36</v>
      </c>
      <c r="I14" s="137" t="s">
        <v>32</v>
      </c>
      <c r="J14" s="138"/>
      <c r="K14" s="138"/>
      <c r="L14" s="139" t="s">
        <v>34</v>
      </c>
    </row>
    <row r="15" spans="1:12" s="4" customFormat="1" x14ac:dyDescent="0.35">
      <c r="A15" s="134" t="s">
        <v>12</v>
      </c>
      <c r="B15" s="135" t="s">
        <v>255</v>
      </c>
      <c r="C15" s="136">
        <v>37218246</v>
      </c>
      <c r="D15" s="136">
        <f t="shared" si="0"/>
        <v>531155410</v>
      </c>
      <c r="E15" s="136">
        <v>533975749</v>
      </c>
      <c r="F15" s="130">
        <f t="shared" si="1"/>
        <v>-2820339</v>
      </c>
      <c r="G15" s="137" t="s">
        <v>35</v>
      </c>
      <c r="H15" s="138" t="s">
        <v>36</v>
      </c>
      <c r="I15" s="137" t="s">
        <v>32</v>
      </c>
      <c r="J15" s="138"/>
      <c r="K15" s="138"/>
      <c r="L15" s="139" t="s">
        <v>34</v>
      </c>
    </row>
    <row r="16" spans="1:12" s="4" customFormat="1" x14ac:dyDescent="0.35">
      <c r="A16" s="134" t="s">
        <v>38</v>
      </c>
      <c r="B16" s="135" t="s">
        <v>256</v>
      </c>
      <c r="C16" s="136">
        <v>44320975</v>
      </c>
      <c r="D16" s="136">
        <f t="shared" si="0"/>
        <v>575476385</v>
      </c>
      <c r="E16" s="136">
        <v>578296724</v>
      </c>
      <c r="F16" s="130">
        <f t="shared" si="1"/>
        <v>-2820339</v>
      </c>
      <c r="G16" s="137" t="s">
        <v>35</v>
      </c>
      <c r="H16" s="138" t="s">
        <v>36</v>
      </c>
      <c r="I16" s="137" t="s">
        <v>32</v>
      </c>
      <c r="J16" s="138"/>
      <c r="K16" s="138"/>
      <c r="L16" s="139" t="s">
        <v>34</v>
      </c>
    </row>
    <row r="17" spans="1:12" s="4" customFormat="1" x14ac:dyDescent="0.35">
      <c r="A17" s="134" t="s">
        <v>13</v>
      </c>
      <c r="B17" s="135" t="s">
        <v>257</v>
      </c>
      <c r="C17" s="136">
        <v>142193865</v>
      </c>
      <c r="D17" s="136">
        <f t="shared" si="0"/>
        <v>717670250</v>
      </c>
      <c r="E17" s="136">
        <v>720490589</v>
      </c>
      <c r="F17" s="130">
        <f t="shared" si="1"/>
        <v>-2820339</v>
      </c>
      <c r="G17" s="137" t="s">
        <v>35</v>
      </c>
      <c r="H17" s="138" t="s">
        <v>36</v>
      </c>
      <c r="I17" s="137" t="s">
        <v>32</v>
      </c>
      <c r="J17" s="138"/>
      <c r="K17" s="138"/>
      <c r="L17" s="139" t="s">
        <v>34</v>
      </c>
    </row>
    <row r="18" spans="1:12" s="4" customFormat="1" x14ac:dyDescent="0.35">
      <c r="A18" s="134" t="s">
        <v>14</v>
      </c>
      <c r="B18" s="135" t="s">
        <v>258</v>
      </c>
      <c r="C18" s="136">
        <v>67174221</v>
      </c>
      <c r="D18" s="136">
        <f t="shared" si="0"/>
        <v>784844471</v>
      </c>
      <c r="E18" s="136">
        <v>787664810</v>
      </c>
      <c r="F18" s="130">
        <f t="shared" si="1"/>
        <v>-2820339</v>
      </c>
      <c r="G18" s="137" t="s">
        <v>35</v>
      </c>
      <c r="H18" s="138" t="s">
        <v>37</v>
      </c>
      <c r="I18" s="137" t="s">
        <v>272</v>
      </c>
      <c r="J18" s="138"/>
      <c r="K18" s="138"/>
      <c r="L18" s="139" t="s">
        <v>34</v>
      </c>
    </row>
    <row r="19" spans="1:12" s="4" customFormat="1" x14ac:dyDescent="0.35">
      <c r="A19" s="134" t="s">
        <v>39</v>
      </c>
      <c r="B19" s="135" t="s">
        <v>259</v>
      </c>
      <c r="C19" s="136">
        <v>40585189</v>
      </c>
      <c r="D19" s="136">
        <f t="shared" si="0"/>
        <v>825429660</v>
      </c>
      <c r="E19" s="136">
        <v>828249999</v>
      </c>
      <c r="F19" s="130">
        <f t="shared" si="1"/>
        <v>-2820339</v>
      </c>
      <c r="G19" s="137" t="s">
        <v>35</v>
      </c>
      <c r="H19" s="138" t="s">
        <v>37</v>
      </c>
      <c r="I19" s="137" t="s">
        <v>32</v>
      </c>
      <c r="J19" s="138"/>
      <c r="K19" s="138"/>
      <c r="L19" s="139" t="s">
        <v>34</v>
      </c>
    </row>
    <row r="20" spans="1:12" s="4" customFormat="1" x14ac:dyDescent="0.35">
      <c r="A20" s="134" t="s">
        <v>15</v>
      </c>
      <c r="B20" s="135" t="s">
        <v>100</v>
      </c>
      <c r="C20" s="136">
        <v>94866975</v>
      </c>
      <c r="D20" s="136">
        <f t="shared" si="0"/>
        <v>920296635</v>
      </c>
      <c r="E20" s="136">
        <v>923116974</v>
      </c>
      <c r="F20" s="130">
        <f t="shared" si="1"/>
        <v>-2820339</v>
      </c>
      <c r="G20" s="137" t="s">
        <v>35</v>
      </c>
      <c r="H20" s="138" t="s">
        <v>37</v>
      </c>
      <c r="I20" s="137" t="s">
        <v>32</v>
      </c>
      <c r="J20" s="138"/>
      <c r="K20" s="138"/>
      <c r="L20" s="139" t="s">
        <v>34</v>
      </c>
    </row>
    <row r="21" spans="1:12" s="4" customFormat="1" x14ac:dyDescent="0.35">
      <c r="A21" s="134" t="s">
        <v>40</v>
      </c>
      <c r="B21" s="135">
        <v>44453</v>
      </c>
      <c r="C21" s="136">
        <v>20069599</v>
      </c>
      <c r="D21" s="136">
        <f t="shared" si="0"/>
        <v>940366234</v>
      </c>
      <c r="E21" s="136">
        <v>994061226</v>
      </c>
      <c r="F21" s="130">
        <f t="shared" si="1"/>
        <v>-53694992</v>
      </c>
      <c r="G21" s="137" t="s">
        <v>35</v>
      </c>
      <c r="H21" s="138"/>
      <c r="I21" s="137" t="s">
        <v>32</v>
      </c>
      <c r="J21" s="138"/>
      <c r="K21" s="138"/>
      <c r="L21" s="139" t="s">
        <v>34</v>
      </c>
    </row>
    <row r="22" spans="1:12" s="4" customFormat="1" x14ac:dyDescent="0.35">
      <c r="A22" s="134" t="s">
        <v>16</v>
      </c>
      <c r="B22" s="135" t="s">
        <v>260</v>
      </c>
      <c r="C22" s="136">
        <v>50874653</v>
      </c>
      <c r="D22" s="136">
        <f t="shared" si="0"/>
        <v>991240887</v>
      </c>
      <c r="E22" s="136">
        <v>973991627</v>
      </c>
      <c r="F22" s="130">
        <f t="shared" si="1"/>
        <v>17249260</v>
      </c>
      <c r="G22" s="137" t="s">
        <v>35</v>
      </c>
      <c r="H22" s="138"/>
      <c r="I22" s="137" t="s">
        <v>32</v>
      </c>
      <c r="J22" s="138"/>
      <c r="K22" s="138"/>
      <c r="L22" s="139" t="s">
        <v>34</v>
      </c>
    </row>
    <row r="23" spans="1:12" ht="15.75" customHeight="1" x14ac:dyDescent="0.35">
      <c r="A23" s="62" t="s">
        <v>17</v>
      </c>
      <c r="B23" s="83" t="s">
        <v>261</v>
      </c>
      <c r="C23" s="120">
        <v>84352349.699999988</v>
      </c>
      <c r="D23" s="136">
        <f t="shared" si="0"/>
        <v>1075593236.7</v>
      </c>
      <c r="E23" s="120">
        <v>1078413576</v>
      </c>
      <c r="F23" s="130">
        <f t="shared" si="1"/>
        <v>-2820339.2999999523</v>
      </c>
      <c r="G23" s="58" t="s">
        <v>35</v>
      </c>
      <c r="H23" s="66"/>
      <c r="I23" s="58" t="s">
        <v>32</v>
      </c>
      <c r="J23" s="66"/>
      <c r="K23" s="66"/>
      <c r="L23" s="139" t="s">
        <v>34</v>
      </c>
    </row>
    <row r="24" spans="1:12" s="4" customFormat="1" x14ac:dyDescent="0.35">
      <c r="A24" s="134" t="s">
        <v>41</v>
      </c>
      <c r="B24" s="135" t="s">
        <v>261</v>
      </c>
      <c r="C24" s="136">
        <v>13844782.59</v>
      </c>
      <c r="D24" s="136">
        <f t="shared" si="0"/>
        <v>1089438019.29</v>
      </c>
      <c r="E24" s="136">
        <v>1092258359</v>
      </c>
      <c r="F24" s="130">
        <f t="shared" si="1"/>
        <v>-2820339.7100000381</v>
      </c>
      <c r="G24" s="137" t="s">
        <v>35</v>
      </c>
      <c r="H24" s="138"/>
      <c r="I24" s="137" t="s">
        <v>32</v>
      </c>
      <c r="J24" s="138"/>
      <c r="K24" s="138"/>
      <c r="L24" s="139" t="s">
        <v>34</v>
      </c>
    </row>
    <row r="25" spans="1:12" s="4" customFormat="1" x14ac:dyDescent="0.35">
      <c r="A25" s="134" t="s">
        <v>18</v>
      </c>
      <c r="B25" s="135" t="s">
        <v>101</v>
      </c>
      <c r="C25" s="136">
        <v>75928358.810000002</v>
      </c>
      <c r="D25" s="136">
        <f t="shared" si="0"/>
        <v>1165366378.0999999</v>
      </c>
      <c r="E25" s="136">
        <v>1168186718</v>
      </c>
      <c r="F25" s="130">
        <f t="shared" si="1"/>
        <v>-2820339.9000000954</v>
      </c>
      <c r="G25" s="137" t="s">
        <v>35</v>
      </c>
      <c r="H25" s="138" t="s">
        <v>37</v>
      </c>
      <c r="I25" s="137" t="s">
        <v>32</v>
      </c>
      <c r="J25" s="138"/>
      <c r="K25" s="138"/>
      <c r="L25" s="139" t="s">
        <v>34</v>
      </c>
    </row>
    <row r="26" spans="1:12" s="4" customFormat="1" x14ac:dyDescent="0.35">
      <c r="A26" s="134" t="s">
        <v>42</v>
      </c>
      <c r="B26" s="135" t="s">
        <v>262</v>
      </c>
      <c r="C26" s="136">
        <v>18717363.449999999</v>
      </c>
      <c r="D26" s="136">
        <f t="shared" si="0"/>
        <v>1184083741.55</v>
      </c>
      <c r="E26" s="136">
        <v>1186904081</v>
      </c>
      <c r="F26" s="130">
        <f t="shared" si="1"/>
        <v>-2820339.4500000477</v>
      </c>
      <c r="G26" s="137" t="s">
        <v>35</v>
      </c>
      <c r="H26" s="138" t="s">
        <v>37</v>
      </c>
      <c r="I26" s="137" t="s">
        <v>32</v>
      </c>
      <c r="J26" s="138"/>
      <c r="K26" s="138"/>
      <c r="L26" s="139" t="s">
        <v>34</v>
      </c>
    </row>
    <row r="27" spans="1:12" s="4" customFormat="1" x14ac:dyDescent="0.35">
      <c r="A27" s="134" t="s">
        <v>19</v>
      </c>
      <c r="B27" s="135" t="s">
        <v>263</v>
      </c>
      <c r="C27" s="136">
        <v>85048022.799999997</v>
      </c>
      <c r="D27" s="136">
        <f t="shared" si="0"/>
        <v>1269131764.3499999</v>
      </c>
      <c r="E27" s="136">
        <v>1271952104</v>
      </c>
      <c r="F27" s="130">
        <f t="shared" si="1"/>
        <v>-2820339.6500000954</v>
      </c>
      <c r="G27" s="137" t="s">
        <v>35</v>
      </c>
      <c r="H27" s="138" t="s">
        <v>37</v>
      </c>
      <c r="I27" s="137" t="s">
        <v>32</v>
      </c>
      <c r="J27" s="138"/>
      <c r="K27" s="138"/>
      <c r="L27" s="139" t="s">
        <v>34</v>
      </c>
    </row>
    <row r="28" spans="1:12" s="4" customFormat="1" x14ac:dyDescent="0.35">
      <c r="A28" s="134" t="s">
        <v>54</v>
      </c>
      <c r="B28" s="135" t="s">
        <v>264</v>
      </c>
      <c r="C28" s="136">
        <v>20922897</v>
      </c>
      <c r="D28" s="136">
        <f t="shared" si="0"/>
        <v>1290054661.3499999</v>
      </c>
      <c r="E28" s="136">
        <v>1292875001</v>
      </c>
      <c r="F28" s="130">
        <f t="shared" si="1"/>
        <v>-2820339.6500000954</v>
      </c>
      <c r="G28" s="137" t="s">
        <v>35</v>
      </c>
      <c r="H28" s="138" t="s">
        <v>37</v>
      </c>
      <c r="I28" s="137" t="s">
        <v>32</v>
      </c>
      <c r="J28" s="138"/>
      <c r="K28" s="138"/>
      <c r="L28" s="139" t="s">
        <v>34</v>
      </c>
    </row>
    <row r="29" spans="1:12" s="4" customFormat="1" x14ac:dyDescent="0.35">
      <c r="A29" s="134" t="s">
        <v>55</v>
      </c>
      <c r="B29" s="135" t="s">
        <v>265</v>
      </c>
      <c r="C29" s="136">
        <v>126272129</v>
      </c>
      <c r="D29" s="136">
        <f t="shared" si="0"/>
        <v>1416326790.3499999</v>
      </c>
      <c r="E29" s="136">
        <v>1419147130</v>
      </c>
      <c r="F29" s="130">
        <f t="shared" si="1"/>
        <v>-2820339.6500000954</v>
      </c>
      <c r="G29" s="137" t="s">
        <v>35</v>
      </c>
      <c r="H29" s="138" t="s">
        <v>37</v>
      </c>
      <c r="I29" s="137" t="s">
        <v>32</v>
      </c>
      <c r="J29" s="138"/>
      <c r="K29" s="138"/>
      <c r="L29" s="139" t="s">
        <v>34</v>
      </c>
    </row>
    <row r="30" spans="1:12" s="4" customFormat="1" x14ac:dyDescent="0.35">
      <c r="A30" s="134" t="s">
        <v>56</v>
      </c>
      <c r="B30" s="135" t="s">
        <v>264</v>
      </c>
      <c r="C30" s="136">
        <v>31419678</v>
      </c>
      <c r="D30" s="136">
        <f t="shared" si="0"/>
        <v>1447746468.3499999</v>
      </c>
      <c r="E30" s="136">
        <v>1450566808</v>
      </c>
      <c r="F30" s="130">
        <f t="shared" si="1"/>
        <v>-2820339.6500000954</v>
      </c>
      <c r="G30" s="137" t="s">
        <v>35</v>
      </c>
      <c r="H30" s="138" t="s">
        <v>266</v>
      </c>
      <c r="I30" s="137" t="s">
        <v>32</v>
      </c>
      <c r="J30" s="138"/>
      <c r="K30" s="138"/>
      <c r="L30" s="139" t="s">
        <v>34</v>
      </c>
    </row>
    <row r="31" spans="1:12" s="4" customFormat="1" x14ac:dyDescent="0.35">
      <c r="A31" s="134" t="s">
        <v>57</v>
      </c>
      <c r="B31" s="135" t="s">
        <v>265</v>
      </c>
      <c r="C31" s="136">
        <v>112370107</v>
      </c>
      <c r="D31" s="136">
        <f t="shared" si="0"/>
        <v>1560116575.3499999</v>
      </c>
      <c r="E31" s="136">
        <v>1562936915</v>
      </c>
      <c r="F31" s="130">
        <f t="shared" si="1"/>
        <v>-2820339.6500000954</v>
      </c>
      <c r="G31" s="137" t="s">
        <v>35</v>
      </c>
      <c r="H31" s="138" t="s">
        <v>266</v>
      </c>
      <c r="I31" s="137" t="s">
        <v>32</v>
      </c>
      <c r="J31" s="138"/>
      <c r="K31" s="138"/>
      <c r="L31" s="139" t="s">
        <v>34</v>
      </c>
    </row>
    <row r="32" spans="1:12" s="4" customFormat="1" x14ac:dyDescent="0.35">
      <c r="A32" s="134" t="s">
        <v>87</v>
      </c>
      <c r="B32" s="135" t="s">
        <v>267</v>
      </c>
      <c r="C32" s="136">
        <v>33738983</v>
      </c>
      <c r="D32" s="136">
        <f t="shared" si="0"/>
        <v>1593855558.3499999</v>
      </c>
      <c r="E32" s="136">
        <v>1596675898</v>
      </c>
      <c r="F32" s="130">
        <f t="shared" si="1"/>
        <v>-2820339.6500000954</v>
      </c>
      <c r="G32" s="137" t="s">
        <v>35</v>
      </c>
      <c r="H32" s="138" t="s">
        <v>266</v>
      </c>
      <c r="I32" s="137" t="s">
        <v>32</v>
      </c>
      <c r="J32" s="138"/>
      <c r="K32" s="138"/>
      <c r="L32" s="139" t="s">
        <v>34</v>
      </c>
    </row>
    <row r="33" spans="1:12" s="4" customFormat="1" x14ac:dyDescent="0.35">
      <c r="A33" s="134" t="s">
        <v>88</v>
      </c>
      <c r="B33" s="135" t="s">
        <v>268</v>
      </c>
      <c r="C33" s="136">
        <v>76443805</v>
      </c>
      <c r="D33" s="136">
        <f t="shared" si="0"/>
        <v>1670299363.3499999</v>
      </c>
      <c r="E33" s="136">
        <v>1673119703</v>
      </c>
      <c r="F33" s="130">
        <f t="shared" si="1"/>
        <v>-2820339.6500000954</v>
      </c>
      <c r="G33" s="137" t="s">
        <v>35</v>
      </c>
      <c r="H33" s="138" t="s">
        <v>266</v>
      </c>
      <c r="I33" s="137" t="s">
        <v>32</v>
      </c>
      <c r="J33" s="138"/>
      <c r="K33" s="138"/>
      <c r="L33" s="139" t="s">
        <v>34</v>
      </c>
    </row>
    <row r="34" spans="1:12" s="4" customFormat="1" x14ac:dyDescent="0.35">
      <c r="A34" s="134" t="s">
        <v>93</v>
      </c>
      <c r="B34" s="135" t="s">
        <v>270</v>
      </c>
      <c r="C34" s="136">
        <v>46548760</v>
      </c>
      <c r="D34" s="136">
        <f t="shared" si="0"/>
        <v>1716848123.3499999</v>
      </c>
      <c r="E34" s="136">
        <v>1719668463</v>
      </c>
      <c r="F34" s="130">
        <f t="shared" si="1"/>
        <v>-2820339.6500000954</v>
      </c>
      <c r="G34" s="137" t="s">
        <v>35</v>
      </c>
      <c r="H34" s="138" t="s">
        <v>266</v>
      </c>
      <c r="I34" s="137" t="s">
        <v>271</v>
      </c>
      <c r="J34" s="138"/>
      <c r="K34" s="138"/>
      <c r="L34" s="139" t="s">
        <v>34</v>
      </c>
    </row>
    <row r="35" spans="1:12" s="4" customFormat="1" x14ac:dyDescent="0.35">
      <c r="A35" s="134" t="s">
        <v>89</v>
      </c>
      <c r="B35" s="135" t="s">
        <v>269</v>
      </c>
      <c r="C35" s="136">
        <v>22553193</v>
      </c>
      <c r="D35" s="136">
        <f t="shared" si="0"/>
        <v>1739401316.3499999</v>
      </c>
      <c r="E35" s="136">
        <v>1742221656</v>
      </c>
      <c r="F35" s="130">
        <f t="shared" si="1"/>
        <v>-2820339.6500000954</v>
      </c>
      <c r="G35" s="137" t="s">
        <v>35</v>
      </c>
      <c r="H35" s="138" t="s">
        <v>266</v>
      </c>
      <c r="I35" s="137" t="s">
        <v>271</v>
      </c>
      <c r="J35" s="138"/>
      <c r="K35" s="138"/>
      <c r="L35" s="139" t="s">
        <v>34</v>
      </c>
    </row>
    <row r="36" spans="1:12" s="4" customFormat="1" x14ac:dyDescent="0.35">
      <c r="A36" s="134" t="s">
        <v>114</v>
      </c>
      <c r="B36" s="135" t="s">
        <v>273</v>
      </c>
      <c r="C36" s="136">
        <v>13537687</v>
      </c>
      <c r="D36" s="136">
        <f t="shared" si="0"/>
        <v>1752939003.3499999</v>
      </c>
      <c r="E36" s="136">
        <v>1755759343</v>
      </c>
      <c r="F36" s="130">
        <f t="shared" si="1"/>
        <v>-2820339.6500000954</v>
      </c>
      <c r="G36" s="137" t="s">
        <v>35</v>
      </c>
      <c r="H36" s="138" t="s">
        <v>266</v>
      </c>
      <c r="I36" s="137" t="s">
        <v>271</v>
      </c>
      <c r="J36" s="138"/>
      <c r="K36" s="138"/>
      <c r="L36" s="139" t="s">
        <v>34</v>
      </c>
    </row>
    <row r="37" spans="1:12" s="4" customFormat="1" x14ac:dyDescent="0.35">
      <c r="A37" s="134" t="s">
        <v>115</v>
      </c>
      <c r="B37" s="135" t="s">
        <v>274</v>
      </c>
      <c r="C37" s="136">
        <v>31904979</v>
      </c>
      <c r="D37" s="136">
        <f t="shared" si="0"/>
        <v>1784843982.3499999</v>
      </c>
      <c r="E37" s="136">
        <v>1787664322</v>
      </c>
      <c r="F37" s="130">
        <f t="shared" si="1"/>
        <v>-2820339.6500000954</v>
      </c>
      <c r="G37" s="137" t="s">
        <v>35</v>
      </c>
      <c r="H37" s="138" t="s">
        <v>266</v>
      </c>
      <c r="I37" s="137" t="s">
        <v>271</v>
      </c>
      <c r="J37" s="138"/>
      <c r="K37" s="138"/>
      <c r="L37" s="139" t="s">
        <v>34</v>
      </c>
    </row>
    <row r="38" spans="1:12" s="4" customFormat="1" x14ac:dyDescent="0.35">
      <c r="A38" s="134" t="s">
        <v>116</v>
      </c>
      <c r="B38" s="135" t="s">
        <v>275</v>
      </c>
      <c r="C38" s="136">
        <v>10625080</v>
      </c>
      <c r="D38" s="136">
        <f t="shared" si="0"/>
        <v>1795469062.3499999</v>
      </c>
      <c r="E38" s="136">
        <v>1798289402</v>
      </c>
      <c r="F38" s="130">
        <f t="shared" si="1"/>
        <v>-2820339.6500000954</v>
      </c>
      <c r="G38" s="137" t="s">
        <v>35</v>
      </c>
      <c r="H38" s="138" t="s">
        <v>266</v>
      </c>
      <c r="I38" s="137" t="s">
        <v>271</v>
      </c>
      <c r="J38" s="138"/>
      <c r="K38" s="138"/>
      <c r="L38" s="139" t="s">
        <v>34</v>
      </c>
    </row>
    <row r="39" spans="1:12" s="4" customFormat="1" x14ac:dyDescent="0.35">
      <c r="A39" s="134" t="s">
        <v>117</v>
      </c>
      <c r="B39" s="135" t="s">
        <v>276</v>
      </c>
      <c r="C39" s="136">
        <v>74553622</v>
      </c>
      <c r="D39" s="136">
        <f t="shared" si="0"/>
        <v>1870022684.3499999</v>
      </c>
      <c r="E39" s="136">
        <v>1872873480</v>
      </c>
      <c r="F39" s="130">
        <f t="shared" si="1"/>
        <v>-2850795.6500000954</v>
      </c>
      <c r="G39" s="137" t="s">
        <v>35</v>
      </c>
      <c r="H39" s="138" t="s">
        <v>266</v>
      </c>
      <c r="I39" s="137" t="s">
        <v>271</v>
      </c>
      <c r="J39" s="138"/>
      <c r="K39" s="138"/>
      <c r="L39" s="139" t="s">
        <v>34</v>
      </c>
    </row>
    <row r="40" spans="1:12" s="4" customFormat="1" x14ac:dyDescent="0.35">
      <c r="A40" s="134" t="s">
        <v>119</v>
      </c>
      <c r="B40" s="135" t="s">
        <v>277</v>
      </c>
      <c r="C40" s="136">
        <v>22726550</v>
      </c>
      <c r="D40" s="136">
        <f t="shared" si="0"/>
        <v>1892749234.3499999</v>
      </c>
      <c r="E40" s="136">
        <v>1895600030</v>
      </c>
      <c r="F40" s="130">
        <f t="shared" si="1"/>
        <v>-2850795.6500000954</v>
      </c>
      <c r="G40" s="137" t="s">
        <v>35</v>
      </c>
      <c r="H40" s="138" t="s">
        <v>266</v>
      </c>
      <c r="I40" s="137" t="s">
        <v>271</v>
      </c>
      <c r="J40" s="138"/>
      <c r="K40" s="138"/>
      <c r="L40" s="139" t="s">
        <v>34</v>
      </c>
    </row>
    <row r="41" spans="1:12" s="4" customFormat="1" x14ac:dyDescent="0.35">
      <c r="A41" s="134" t="s">
        <v>120</v>
      </c>
      <c r="B41" s="135" t="s">
        <v>278</v>
      </c>
      <c r="C41" s="136">
        <v>54870621</v>
      </c>
      <c r="D41" s="136">
        <f t="shared" si="0"/>
        <v>1947619855.3499999</v>
      </c>
      <c r="E41" s="136">
        <v>1950470651</v>
      </c>
      <c r="F41" s="130">
        <f t="shared" si="1"/>
        <v>-2850795.6500000954</v>
      </c>
      <c r="G41" s="137" t="s">
        <v>35</v>
      </c>
      <c r="H41" s="138" t="s">
        <v>266</v>
      </c>
      <c r="I41" s="137" t="s">
        <v>271</v>
      </c>
      <c r="J41" s="138"/>
      <c r="K41" s="138"/>
      <c r="L41" s="139" t="s">
        <v>34</v>
      </c>
    </row>
    <row r="42" spans="1:12" s="4" customFormat="1" x14ac:dyDescent="0.35">
      <c r="A42" s="143" t="s">
        <v>121</v>
      </c>
      <c r="B42" s="144" t="s">
        <v>279</v>
      </c>
      <c r="C42" s="140">
        <v>16946366</v>
      </c>
      <c r="D42" s="136">
        <f t="shared" si="0"/>
        <v>1964566221.3499999</v>
      </c>
      <c r="E42" s="140">
        <v>1967417017</v>
      </c>
      <c r="F42" s="130">
        <f t="shared" si="1"/>
        <v>-2850795.6500000954</v>
      </c>
      <c r="G42" s="137" t="s">
        <v>35</v>
      </c>
      <c r="H42" s="138" t="s">
        <v>266</v>
      </c>
      <c r="I42" s="137" t="s">
        <v>271</v>
      </c>
      <c r="J42" s="145"/>
      <c r="K42" s="145"/>
      <c r="L42" s="139" t="s">
        <v>34</v>
      </c>
    </row>
    <row r="43" spans="1:12" s="4" customFormat="1" x14ac:dyDescent="0.35">
      <c r="A43" s="134" t="s">
        <v>174</v>
      </c>
      <c r="B43" s="144" t="s">
        <v>280</v>
      </c>
      <c r="C43" s="140">
        <v>63989746</v>
      </c>
      <c r="D43" s="136">
        <f t="shared" si="0"/>
        <v>2028555967.3499999</v>
      </c>
      <c r="E43" s="140">
        <v>2031408248</v>
      </c>
      <c r="F43" s="130">
        <f t="shared" si="1"/>
        <v>-2852280.6500000954</v>
      </c>
      <c r="G43" s="137" t="s">
        <v>35</v>
      </c>
      <c r="H43" s="138" t="s">
        <v>266</v>
      </c>
      <c r="I43" s="137" t="s">
        <v>271</v>
      </c>
      <c r="J43" s="145"/>
      <c r="K43" s="145"/>
      <c r="L43" s="139" t="s">
        <v>34</v>
      </c>
    </row>
    <row r="44" spans="1:12" s="4" customFormat="1" x14ac:dyDescent="0.35">
      <c r="A44" s="143" t="s">
        <v>175</v>
      </c>
      <c r="B44" s="144" t="s">
        <v>163</v>
      </c>
      <c r="C44" s="140">
        <v>46261725</v>
      </c>
      <c r="D44" s="136">
        <f t="shared" si="0"/>
        <v>2074817692.3499999</v>
      </c>
      <c r="E44" s="140">
        <v>2077669973</v>
      </c>
      <c r="F44" s="130">
        <f t="shared" si="1"/>
        <v>-2852280.6500000954</v>
      </c>
      <c r="G44" s="137" t="s">
        <v>35</v>
      </c>
      <c r="H44" s="138" t="s">
        <v>266</v>
      </c>
      <c r="I44" s="137" t="s">
        <v>271</v>
      </c>
      <c r="J44" s="145"/>
      <c r="K44" s="145"/>
      <c r="L44" s="139" t="s">
        <v>34</v>
      </c>
    </row>
    <row r="45" spans="1:12" s="4" customFormat="1" x14ac:dyDescent="0.35">
      <c r="A45" s="143" t="s">
        <v>198</v>
      </c>
      <c r="B45" s="144" t="s">
        <v>281</v>
      </c>
      <c r="C45" s="140">
        <v>175538267</v>
      </c>
      <c r="D45" s="136">
        <f t="shared" si="0"/>
        <v>2250355959.3499999</v>
      </c>
      <c r="E45" s="140">
        <v>2253208240</v>
      </c>
      <c r="F45" s="130">
        <f t="shared" si="1"/>
        <v>-2852280.6500000954</v>
      </c>
      <c r="G45" s="137" t="s">
        <v>35</v>
      </c>
      <c r="H45" s="138" t="s">
        <v>266</v>
      </c>
      <c r="I45" s="137" t="s">
        <v>271</v>
      </c>
      <c r="J45" s="145"/>
      <c r="K45" s="145"/>
      <c r="L45" s="139" t="s">
        <v>34</v>
      </c>
    </row>
    <row r="46" spans="1:12" s="4" customFormat="1" x14ac:dyDescent="0.35">
      <c r="A46" s="143" t="s">
        <v>282</v>
      </c>
      <c r="B46" s="144" t="s">
        <v>227</v>
      </c>
      <c r="C46" s="140">
        <v>224915699</v>
      </c>
      <c r="D46" s="136">
        <f t="shared" si="0"/>
        <v>2475271658.3499999</v>
      </c>
      <c r="E46" s="140">
        <v>2478123939</v>
      </c>
      <c r="F46" s="130">
        <f t="shared" si="1"/>
        <v>-2852280.6500000954</v>
      </c>
      <c r="G46" s="137" t="s">
        <v>35</v>
      </c>
      <c r="H46" s="138" t="s">
        <v>266</v>
      </c>
      <c r="I46" s="137" t="s">
        <v>271</v>
      </c>
      <c r="J46" s="145"/>
      <c r="K46" s="145"/>
      <c r="L46" s="139" t="s">
        <v>34</v>
      </c>
    </row>
    <row r="47" spans="1:12" s="4" customFormat="1" x14ac:dyDescent="0.35">
      <c r="A47" s="143" t="s">
        <v>201</v>
      </c>
      <c r="B47" s="144" t="s">
        <v>283</v>
      </c>
      <c r="C47" s="140">
        <v>62330592</v>
      </c>
      <c r="D47" s="136">
        <f t="shared" si="0"/>
        <v>2537602250.3499999</v>
      </c>
      <c r="E47" s="140">
        <v>2540454531</v>
      </c>
      <c r="F47" s="130">
        <f t="shared" si="1"/>
        <v>-2852280.6500000954</v>
      </c>
      <c r="G47" s="137" t="s">
        <v>35</v>
      </c>
      <c r="H47" s="138" t="s">
        <v>266</v>
      </c>
      <c r="I47" s="137" t="s">
        <v>271</v>
      </c>
      <c r="J47" s="145"/>
      <c r="K47" s="145"/>
      <c r="L47" s="139" t="s">
        <v>34</v>
      </c>
    </row>
    <row r="48" spans="1:12" s="4" customFormat="1" x14ac:dyDescent="0.35">
      <c r="A48" s="143" t="s">
        <v>202</v>
      </c>
      <c r="B48" s="144" t="s">
        <v>284</v>
      </c>
      <c r="C48" s="140">
        <v>130099074</v>
      </c>
      <c r="D48" s="136">
        <f t="shared" si="0"/>
        <v>2667701324.3499999</v>
      </c>
      <c r="E48" s="140">
        <v>2670553605</v>
      </c>
      <c r="F48" s="130">
        <f t="shared" si="1"/>
        <v>-2852280.6500000954</v>
      </c>
      <c r="G48" s="137" t="s">
        <v>35</v>
      </c>
      <c r="H48" s="138" t="s">
        <v>266</v>
      </c>
      <c r="I48" s="137" t="s">
        <v>271</v>
      </c>
      <c r="J48" s="145"/>
      <c r="K48" s="145"/>
      <c r="L48" s="139" t="s">
        <v>34</v>
      </c>
    </row>
    <row r="49" spans="1:12" s="4" customFormat="1" x14ac:dyDescent="0.35">
      <c r="A49" s="143" t="s">
        <v>203</v>
      </c>
      <c r="B49" s="144" t="s">
        <v>285</v>
      </c>
      <c r="C49" s="140">
        <v>51892017</v>
      </c>
      <c r="D49" s="136">
        <f t="shared" si="0"/>
        <v>2719593341.3499999</v>
      </c>
      <c r="E49" s="140">
        <v>2722445622</v>
      </c>
      <c r="F49" s="130">
        <f t="shared" si="1"/>
        <v>-2852280.6500000954</v>
      </c>
      <c r="G49" s="137" t="s">
        <v>35</v>
      </c>
      <c r="H49" s="138" t="s">
        <v>266</v>
      </c>
      <c r="I49" s="137" t="s">
        <v>271</v>
      </c>
      <c r="J49" s="145"/>
      <c r="K49" s="145"/>
      <c r="L49" s="139" t="s">
        <v>34</v>
      </c>
    </row>
    <row r="50" spans="1:12" s="4" customFormat="1" x14ac:dyDescent="0.35">
      <c r="A50" s="143" t="s">
        <v>204</v>
      </c>
      <c r="B50" s="144" t="s">
        <v>286</v>
      </c>
      <c r="C50" s="140">
        <v>103488340</v>
      </c>
      <c r="D50" s="136">
        <f t="shared" si="0"/>
        <v>2823081681.3499999</v>
      </c>
      <c r="E50" s="140">
        <v>2825933962</v>
      </c>
      <c r="F50" s="130">
        <f t="shared" si="1"/>
        <v>-2852280.6500000954</v>
      </c>
      <c r="G50" s="137" t="s">
        <v>35</v>
      </c>
      <c r="H50" s="145" t="s">
        <v>266</v>
      </c>
      <c r="I50" s="146" t="s">
        <v>271</v>
      </c>
      <c r="J50" s="145"/>
      <c r="K50" s="145"/>
      <c r="L50" s="139" t="s">
        <v>34</v>
      </c>
    </row>
    <row r="51" spans="1:12" s="4" customFormat="1" x14ac:dyDescent="0.35">
      <c r="A51" s="143" t="s">
        <v>205</v>
      </c>
      <c r="B51" s="144" t="s">
        <v>287</v>
      </c>
      <c r="C51" s="140">
        <v>36953544</v>
      </c>
      <c r="D51" s="136">
        <f t="shared" si="0"/>
        <v>2860035225.3499999</v>
      </c>
      <c r="E51" s="140">
        <v>2862887506</v>
      </c>
      <c r="F51" s="130">
        <f t="shared" si="1"/>
        <v>-2852280.6500000954</v>
      </c>
      <c r="G51" s="137" t="s">
        <v>35</v>
      </c>
      <c r="H51" s="145" t="s">
        <v>266</v>
      </c>
      <c r="I51" s="146" t="s">
        <v>271</v>
      </c>
      <c r="J51" s="145"/>
      <c r="K51" s="145"/>
      <c r="L51" s="139" t="s">
        <v>34</v>
      </c>
    </row>
    <row r="52" spans="1:12" s="4" customFormat="1" x14ac:dyDescent="0.35">
      <c r="A52" s="143" t="s">
        <v>288</v>
      </c>
      <c r="B52" s="144" t="s">
        <v>289</v>
      </c>
      <c r="C52" s="140">
        <v>73974359</v>
      </c>
      <c r="D52" s="136">
        <f t="shared" si="0"/>
        <v>2934009584.3499999</v>
      </c>
      <c r="E52" s="140">
        <v>2936861865</v>
      </c>
      <c r="F52" s="130">
        <f t="shared" si="1"/>
        <v>-2852280.6500000954</v>
      </c>
      <c r="G52" s="137" t="s">
        <v>35</v>
      </c>
      <c r="H52" s="145" t="s">
        <v>266</v>
      </c>
      <c r="I52" s="146" t="s">
        <v>271</v>
      </c>
      <c r="J52" s="145"/>
      <c r="K52" s="145"/>
      <c r="L52" s="139" t="s">
        <v>34</v>
      </c>
    </row>
    <row r="53" spans="1:12" s="4" customFormat="1" x14ac:dyDescent="0.35">
      <c r="A53" s="143" t="s">
        <v>290</v>
      </c>
      <c r="B53" s="144" t="s">
        <v>291</v>
      </c>
      <c r="C53" s="140">
        <v>18867473</v>
      </c>
      <c r="D53" s="136">
        <f t="shared" si="0"/>
        <v>2952877057.3499999</v>
      </c>
      <c r="E53" s="140">
        <v>2955738338</v>
      </c>
      <c r="F53" s="130">
        <f t="shared" si="1"/>
        <v>-2861280.6500000954</v>
      </c>
      <c r="G53" s="137" t="s">
        <v>35</v>
      </c>
      <c r="H53" s="145" t="s">
        <v>266</v>
      </c>
      <c r="I53" s="146" t="s">
        <v>271</v>
      </c>
      <c r="J53" s="145"/>
      <c r="K53" s="145"/>
      <c r="L53" s="139" t="s">
        <v>34</v>
      </c>
    </row>
    <row r="54" spans="1:12" s="4" customFormat="1" x14ac:dyDescent="0.35">
      <c r="A54" s="143" t="s">
        <v>292</v>
      </c>
      <c r="B54" s="144" t="s">
        <v>293</v>
      </c>
      <c r="C54" s="140">
        <v>29361435</v>
      </c>
      <c r="D54" s="136">
        <f t="shared" si="0"/>
        <v>2982238492.3499999</v>
      </c>
      <c r="E54" s="140">
        <v>2985090773</v>
      </c>
      <c r="F54" s="130">
        <f t="shared" si="1"/>
        <v>-2852280.6500000954</v>
      </c>
      <c r="G54" s="137" t="s">
        <v>35</v>
      </c>
      <c r="H54" s="145" t="s">
        <v>266</v>
      </c>
      <c r="I54" s="146" t="s">
        <v>271</v>
      </c>
      <c r="J54" s="145"/>
      <c r="K54" s="145"/>
      <c r="L54" s="139" t="s">
        <v>34</v>
      </c>
    </row>
    <row r="55" spans="1:12" s="4" customFormat="1" x14ac:dyDescent="0.35">
      <c r="A55" s="143" t="s">
        <v>294</v>
      </c>
      <c r="B55" s="144" t="s">
        <v>295</v>
      </c>
      <c r="C55" s="140">
        <v>63375543</v>
      </c>
      <c r="D55" s="136">
        <f t="shared" si="0"/>
        <v>3045614035.3499999</v>
      </c>
      <c r="E55" s="140">
        <v>3048466516</v>
      </c>
      <c r="F55" s="130">
        <f t="shared" si="1"/>
        <v>-2852480.6500000954</v>
      </c>
      <c r="G55" s="137" t="s">
        <v>35</v>
      </c>
      <c r="H55" s="145" t="s">
        <v>266</v>
      </c>
      <c r="I55" s="146" t="s">
        <v>271</v>
      </c>
      <c r="J55" s="145"/>
      <c r="K55" s="145"/>
      <c r="L55" s="139" t="s">
        <v>34</v>
      </c>
    </row>
    <row r="56" spans="1:12" s="4" customFormat="1" x14ac:dyDescent="0.35">
      <c r="A56" s="143" t="s">
        <v>296</v>
      </c>
      <c r="B56" s="144" t="s">
        <v>297</v>
      </c>
      <c r="C56" s="140">
        <v>22430323</v>
      </c>
      <c r="D56" s="136">
        <f t="shared" si="0"/>
        <v>3068044358.3499999</v>
      </c>
      <c r="E56" s="140">
        <v>3070896639</v>
      </c>
      <c r="F56" s="130">
        <f t="shared" si="1"/>
        <v>-2852280.6500000954</v>
      </c>
      <c r="G56" s="137" t="s">
        <v>35</v>
      </c>
      <c r="H56" s="145" t="s">
        <v>266</v>
      </c>
      <c r="I56" s="146" t="s">
        <v>271</v>
      </c>
      <c r="J56" s="145"/>
      <c r="K56" s="145"/>
      <c r="L56" s="139" t="s">
        <v>34</v>
      </c>
    </row>
    <row r="57" spans="1:12" s="4" customFormat="1" x14ac:dyDescent="0.35">
      <c r="A57" s="143" t="s">
        <v>300</v>
      </c>
      <c r="B57" s="144" t="s">
        <v>340</v>
      </c>
      <c r="C57" s="140">
        <v>94079806</v>
      </c>
      <c r="D57" s="136">
        <f t="shared" si="0"/>
        <v>3162124164.3499999</v>
      </c>
      <c r="E57" s="140">
        <v>3164976445</v>
      </c>
      <c r="F57" s="130">
        <f t="shared" si="1"/>
        <v>-2852280.6500000954</v>
      </c>
      <c r="G57" s="137" t="s">
        <v>35</v>
      </c>
      <c r="H57" s="145"/>
      <c r="I57" s="146"/>
      <c r="J57" s="145"/>
      <c r="K57" s="145"/>
      <c r="L57" s="139" t="s">
        <v>34</v>
      </c>
    </row>
    <row r="58" spans="1:12" x14ac:dyDescent="0.35">
      <c r="A58" s="64" t="s">
        <v>298</v>
      </c>
      <c r="B58" s="103" t="s">
        <v>299</v>
      </c>
      <c r="C58" s="123">
        <v>34853698</v>
      </c>
      <c r="D58" s="120">
        <f t="shared" si="0"/>
        <v>3196977862.3499999</v>
      </c>
      <c r="E58" s="123">
        <v>3199830143</v>
      </c>
      <c r="F58" s="147">
        <f t="shared" si="1"/>
        <v>-2852280.6500000954</v>
      </c>
      <c r="G58" s="58" t="s">
        <v>35</v>
      </c>
      <c r="H58" s="75"/>
      <c r="I58" s="124"/>
      <c r="J58" s="75"/>
      <c r="K58" s="75"/>
      <c r="L58" s="68" t="s">
        <v>34</v>
      </c>
    </row>
    <row r="59" spans="1:12" x14ac:dyDescent="0.35">
      <c r="A59" s="64" t="s">
        <v>301</v>
      </c>
      <c r="B59" s="103" t="s">
        <v>302</v>
      </c>
      <c r="C59" s="123">
        <v>45439850</v>
      </c>
      <c r="D59" s="120">
        <f t="shared" si="0"/>
        <v>3242417712.3499999</v>
      </c>
      <c r="E59" s="123">
        <v>3245269993</v>
      </c>
      <c r="F59" s="147">
        <f t="shared" si="1"/>
        <v>-2852280.6500000954</v>
      </c>
      <c r="G59" s="58" t="s">
        <v>35</v>
      </c>
      <c r="H59" s="75"/>
      <c r="I59" s="124"/>
      <c r="J59" s="75"/>
      <c r="K59" s="75"/>
      <c r="L59" s="68" t="s">
        <v>34</v>
      </c>
    </row>
    <row r="60" spans="1:12" x14ac:dyDescent="0.35">
      <c r="A60" s="64" t="s">
        <v>305</v>
      </c>
      <c r="B60" s="103" t="s">
        <v>306</v>
      </c>
      <c r="C60" s="123">
        <v>15693723</v>
      </c>
      <c r="D60" s="120">
        <f t="shared" si="0"/>
        <v>3258111435.3499999</v>
      </c>
      <c r="E60" s="123">
        <v>3260963716</v>
      </c>
      <c r="F60" s="147">
        <f t="shared" si="1"/>
        <v>-2852280.6500000954</v>
      </c>
      <c r="G60" s="58" t="s">
        <v>35</v>
      </c>
      <c r="H60" s="75"/>
      <c r="I60" s="124"/>
      <c r="J60" s="75"/>
      <c r="K60" s="75"/>
      <c r="L60" s="68" t="s">
        <v>34</v>
      </c>
    </row>
    <row r="61" spans="1:12" s="4" customFormat="1" x14ac:dyDescent="0.35">
      <c r="A61" s="143" t="s">
        <v>303</v>
      </c>
      <c r="B61" s="144" t="s">
        <v>304</v>
      </c>
      <c r="C61" s="140">
        <v>38121741</v>
      </c>
      <c r="D61" s="136">
        <f t="shared" si="0"/>
        <v>3296233176.3499999</v>
      </c>
      <c r="E61" s="140">
        <v>3299085457</v>
      </c>
      <c r="F61" s="130">
        <f t="shared" si="1"/>
        <v>-2852280.6500000954</v>
      </c>
      <c r="G61" s="137" t="s">
        <v>35</v>
      </c>
      <c r="H61" s="145" t="s">
        <v>266</v>
      </c>
      <c r="I61" s="146" t="s">
        <v>271</v>
      </c>
      <c r="J61" s="145"/>
      <c r="K61" s="145"/>
      <c r="L61" s="139" t="s">
        <v>34</v>
      </c>
    </row>
    <row r="62" spans="1:12" s="4" customFormat="1" x14ac:dyDescent="0.35">
      <c r="A62" s="143" t="s">
        <v>307</v>
      </c>
      <c r="B62" s="144" t="s">
        <v>308</v>
      </c>
      <c r="C62" s="140">
        <v>22129606</v>
      </c>
      <c r="D62" s="136">
        <f t="shared" si="0"/>
        <v>3318362782.3499999</v>
      </c>
      <c r="E62" s="140">
        <v>3321215063</v>
      </c>
      <c r="F62" s="130">
        <f t="shared" si="1"/>
        <v>-2852280.6500000954</v>
      </c>
      <c r="G62" s="137" t="s">
        <v>35</v>
      </c>
      <c r="H62" s="145" t="s">
        <v>266</v>
      </c>
      <c r="I62" s="146" t="s">
        <v>271</v>
      </c>
      <c r="J62" s="145"/>
      <c r="K62" s="145"/>
      <c r="L62" s="139" t="s">
        <v>34</v>
      </c>
    </row>
    <row r="63" spans="1:12" x14ac:dyDescent="0.35">
      <c r="A63" s="64" t="s">
        <v>311</v>
      </c>
      <c r="B63" s="103" t="s">
        <v>217</v>
      </c>
      <c r="C63" s="123">
        <v>44226991</v>
      </c>
      <c r="D63" s="120">
        <f t="shared" si="0"/>
        <v>3362589773.3499999</v>
      </c>
      <c r="E63" s="123">
        <v>3365442054</v>
      </c>
      <c r="F63" s="147">
        <f t="shared" si="1"/>
        <v>-2852280.6500000954</v>
      </c>
      <c r="G63" s="58" t="s">
        <v>35</v>
      </c>
      <c r="H63" s="75"/>
      <c r="I63" s="124"/>
      <c r="J63" s="75"/>
      <c r="K63" s="75"/>
      <c r="L63" s="68" t="s">
        <v>34</v>
      </c>
    </row>
    <row r="64" spans="1:12" x14ac:dyDescent="0.35">
      <c r="A64" s="64" t="s">
        <v>312</v>
      </c>
      <c r="B64" s="103" t="s">
        <v>313</v>
      </c>
      <c r="C64" s="123">
        <v>10343777</v>
      </c>
      <c r="D64" s="120">
        <f t="shared" si="0"/>
        <v>3372933550.3499999</v>
      </c>
      <c r="E64" s="123">
        <v>3375785831</v>
      </c>
      <c r="F64" s="147">
        <f t="shared" si="1"/>
        <v>-2852280.6500000954</v>
      </c>
      <c r="G64" s="58" t="s">
        <v>35</v>
      </c>
      <c r="H64" s="75"/>
      <c r="I64" s="124"/>
      <c r="J64" s="75"/>
      <c r="K64" s="75"/>
      <c r="L64" s="68" t="s">
        <v>34</v>
      </c>
    </row>
    <row r="65" spans="1:12" s="156" customFormat="1" x14ac:dyDescent="0.35">
      <c r="A65" s="148" t="s">
        <v>314</v>
      </c>
      <c r="B65" s="149" t="s">
        <v>315</v>
      </c>
      <c r="C65" s="150">
        <v>105278011</v>
      </c>
      <c r="D65" s="141">
        <f t="shared" si="0"/>
        <v>3478211561.3499999</v>
      </c>
      <c r="E65" s="151">
        <v>3481063842</v>
      </c>
      <c r="F65" s="152">
        <f t="shared" si="1"/>
        <v>-2852280.6500000954</v>
      </c>
      <c r="G65" s="153" t="s">
        <v>35</v>
      </c>
      <c r="H65" s="150"/>
      <c r="I65" s="154"/>
      <c r="J65" s="150" t="s">
        <v>347</v>
      </c>
      <c r="K65" s="150"/>
      <c r="L65" s="155" t="s">
        <v>34</v>
      </c>
    </row>
    <row r="66" spans="1:12" x14ac:dyDescent="0.35">
      <c r="A66" s="64" t="s">
        <v>316</v>
      </c>
      <c r="B66" s="103" t="s">
        <v>317</v>
      </c>
      <c r="C66" s="123">
        <v>43086716</v>
      </c>
      <c r="D66" s="120">
        <f t="shared" si="0"/>
        <v>3521298277.3499999</v>
      </c>
      <c r="E66" s="123">
        <v>3524150558</v>
      </c>
      <c r="F66" s="147">
        <f t="shared" si="1"/>
        <v>-2852280.6500000954</v>
      </c>
      <c r="G66" s="58" t="s">
        <v>35</v>
      </c>
      <c r="H66" s="75"/>
      <c r="I66" s="124"/>
      <c r="J66" s="75"/>
      <c r="K66" s="75"/>
      <c r="L66" s="68" t="s">
        <v>34</v>
      </c>
    </row>
    <row r="67" spans="1:12" x14ac:dyDescent="0.35">
      <c r="A67" s="64" t="s">
        <v>318</v>
      </c>
      <c r="B67" s="103" t="s">
        <v>319</v>
      </c>
      <c r="C67" s="123">
        <v>50113999</v>
      </c>
      <c r="D67" s="120">
        <f t="shared" si="0"/>
        <v>3571412276.3499999</v>
      </c>
      <c r="E67" s="123">
        <v>3574264557</v>
      </c>
      <c r="F67" s="147">
        <f t="shared" si="1"/>
        <v>-2852280.6500000954</v>
      </c>
      <c r="G67" s="58" t="s">
        <v>35</v>
      </c>
      <c r="H67" s="75"/>
      <c r="I67" s="124"/>
      <c r="J67" s="75"/>
      <c r="K67" s="75"/>
      <c r="L67" s="68" t="s">
        <v>34</v>
      </c>
    </row>
    <row r="68" spans="1:12" x14ac:dyDescent="0.35">
      <c r="A68" s="64" t="s">
        <v>343</v>
      </c>
      <c r="B68" s="103" t="s">
        <v>344</v>
      </c>
      <c r="C68" s="123">
        <v>17352409</v>
      </c>
      <c r="D68" s="120">
        <f t="shared" si="0"/>
        <v>3588764685.3499999</v>
      </c>
      <c r="E68" s="123">
        <v>3591616966</v>
      </c>
      <c r="F68" s="147">
        <f t="shared" si="1"/>
        <v>-2852280.6500000954</v>
      </c>
      <c r="G68" s="58" t="s">
        <v>35</v>
      </c>
      <c r="H68" s="75"/>
      <c r="I68" s="124"/>
      <c r="J68" s="75"/>
      <c r="K68" s="75"/>
      <c r="L68" s="68" t="s">
        <v>34</v>
      </c>
    </row>
    <row r="69" spans="1:12" x14ac:dyDescent="0.35">
      <c r="A69" s="64" t="s">
        <v>320</v>
      </c>
      <c r="B69" s="103" t="s">
        <v>321</v>
      </c>
      <c r="C69" s="123">
        <v>46146849</v>
      </c>
      <c r="D69" s="120">
        <f t="shared" ref="D69:D81" si="2">+D68+C69</f>
        <v>3634911534.3499999</v>
      </c>
      <c r="E69" s="123">
        <v>3637763815</v>
      </c>
      <c r="F69" s="147">
        <f t="shared" ref="F69:F81" si="3">+D69-E69</f>
        <v>-2852280.6500000954</v>
      </c>
      <c r="G69" s="58" t="s">
        <v>35</v>
      </c>
      <c r="H69" s="75"/>
      <c r="I69" s="124"/>
      <c r="J69" s="75"/>
      <c r="K69" s="75"/>
      <c r="L69" s="68" t="s">
        <v>34</v>
      </c>
    </row>
    <row r="70" spans="1:12" x14ac:dyDescent="0.35">
      <c r="A70" s="64" t="s">
        <v>322</v>
      </c>
      <c r="B70" s="103" t="s">
        <v>323</v>
      </c>
      <c r="C70" s="123">
        <v>38334955</v>
      </c>
      <c r="D70" s="120">
        <f t="shared" si="2"/>
        <v>3673246489.3499999</v>
      </c>
      <c r="E70" s="123">
        <v>3676098770</v>
      </c>
      <c r="F70" s="147">
        <f t="shared" si="3"/>
        <v>-2852280.6500000954</v>
      </c>
      <c r="G70" s="58" t="s">
        <v>35</v>
      </c>
      <c r="H70" s="75"/>
      <c r="I70" s="124"/>
      <c r="J70" s="75"/>
      <c r="K70" s="75"/>
      <c r="L70" s="68" t="s">
        <v>34</v>
      </c>
    </row>
    <row r="71" spans="1:12" x14ac:dyDescent="0.35">
      <c r="A71" s="64" t="s">
        <v>326</v>
      </c>
      <c r="B71" s="103" t="s">
        <v>327</v>
      </c>
      <c r="C71" s="123">
        <v>12546671</v>
      </c>
      <c r="D71" s="120">
        <f t="shared" si="2"/>
        <v>3685793160.3499999</v>
      </c>
      <c r="E71" s="123">
        <v>3688645441</v>
      </c>
      <c r="F71" s="147">
        <f t="shared" si="3"/>
        <v>-2852280.6500000954</v>
      </c>
      <c r="G71" s="58" t="s">
        <v>35</v>
      </c>
      <c r="H71" s="75"/>
      <c r="I71" s="124"/>
      <c r="J71" s="75"/>
      <c r="K71" s="75"/>
      <c r="L71" s="68" t="s">
        <v>34</v>
      </c>
    </row>
    <row r="72" spans="1:12" x14ac:dyDescent="0.35">
      <c r="A72" s="64" t="s">
        <v>328</v>
      </c>
      <c r="B72" s="103" t="s">
        <v>329</v>
      </c>
      <c r="C72" s="123">
        <v>9442786</v>
      </c>
      <c r="D72" s="120">
        <f t="shared" si="2"/>
        <v>3695235946.3499999</v>
      </c>
      <c r="E72" s="123">
        <v>3698088227</v>
      </c>
      <c r="F72" s="147">
        <f t="shared" si="3"/>
        <v>-2852280.6500000954</v>
      </c>
      <c r="G72" s="58" t="s">
        <v>35</v>
      </c>
      <c r="H72" s="75"/>
      <c r="I72" s="124"/>
      <c r="J72" s="75"/>
      <c r="K72" s="75"/>
      <c r="L72" s="68" t="s">
        <v>34</v>
      </c>
    </row>
    <row r="73" spans="1:12" x14ac:dyDescent="0.35">
      <c r="A73" s="64" t="s">
        <v>330</v>
      </c>
      <c r="B73" s="103" t="s">
        <v>331</v>
      </c>
      <c r="C73" s="123">
        <v>76435921</v>
      </c>
      <c r="D73" s="120">
        <f t="shared" si="2"/>
        <v>3771671867.3499999</v>
      </c>
      <c r="E73" s="123">
        <v>3774524148</v>
      </c>
      <c r="F73" s="147">
        <f t="shared" si="3"/>
        <v>-2852280.6500000954</v>
      </c>
      <c r="G73" s="58" t="s">
        <v>35</v>
      </c>
      <c r="H73" s="75"/>
      <c r="I73" s="124"/>
      <c r="J73" s="75"/>
      <c r="K73" s="75"/>
      <c r="L73" s="68" t="s">
        <v>34</v>
      </c>
    </row>
    <row r="74" spans="1:12" x14ac:dyDescent="0.35">
      <c r="A74" s="64" t="s">
        <v>345</v>
      </c>
      <c r="B74" s="103" t="s">
        <v>346</v>
      </c>
      <c r="C74" s="123">
        <f>3805639872-E73</f>
        <v>31115724</v>
      </c>
      <c r="D74" s="120">
        <f t="shared" si="2"/>
        <v>3802787591.3499999</v>
      </c>
      <c r="E74" s="123">
        <f>3774524148+31115724</f>
        <v>3805639872</v>
      </c>
      <c r="F74" s="147">
        <f t="shared" si="3"/>
        <v>-2852280.6500000954</v>
      </c>
      <c r="G74" s="58" t="s">
        <v>35</v>
      </c>
      <c r="H74" s="75"/>
      <c r="I74" s="124"/>
      <c r="J74" s="75"/>
      <c r="K74" s="75"/>
      <c r="L74" s="68" t="s">
        <v>34</v>
      </c>
    </row>
    <row r="75" spans="1:12" x14ac:dyDescent="0.35">
      <c r="A75" s="64" t="s">
        <v>336</v>
      </c>
      <c r="B75" s="103" t="s">
        <v>337</v>
      </c>
      <c r="C75" s="123">
        <v>67989653</v>
      </c>
      <c r="D75" s="120">
        <f t="shared" si="2"/>
        <v>3870777244.3499999</v>
      </c>
      <c r="E75" s="123">
        <v>3873629525</v>
      </c>
      <c r="F75" s="147">
        <f t="shared" si="3"/>
        <v>-2852280.6500000954</v>
      </c>
      <c r="G75" s="58" t="s">
        <v>35</v>
      </c>
      <c r="H75" s="75"/>
      <c r="I75" s="124"/>
      <c r="J75" s="75"/>
      <c r="K75" s="75"/>
      <c r="L75" s="68" t="s">
        <v>34</v>
      </c>
    </row>
    <row r="76" spans="1:12" x14ac:dyDescent="0.35">
      <c r="A76" s="64" t="s">
        <v>332</v>
      </c>
      <c r="B76" s="103" t="s">
        <v>333</v>
      </c>
      <c r="C76" s="123">
        <v>20025000</v>
      </c>
      <c r="D76" s="120">
        <f t="shared" si="2"/>
        <v>3890802244.3499999</v>
      </c>
      <c r="E76" s="123">
        <v>3893654525</v>
      </c>
      <c r="F76" s="147">
        <f t="shared" si="3"/>
        <v>-2852280.6500000954</v>
      </c>
      <c r="G76" s="58" t="s">
        <v>35</v>
      </c>
      <c r="H76" s="75"/>
      <c r="I76" s="124"/>
      <c r="J76" s="75"/>
      <c r="K76" s="75"/>
      <c r="L76" s="68" t="s">
        <v>34</v>
      </c>
    </row>
    <row r="77" spans="1:12" x14ac:dyDescent="0.35">
      <c r="A77" s="64" t="s">
        <v>334</v>
      </c>
      <c r="B77" s="103" t="s">
        <v>335</v>
      </c>
      <c r="C77" s="123">
        <v>33987956</v>
      </c>
      <c r="D77" s="120">
        <f t="shared" si="2"/>
        <v>3924790200.3499999</v>
      </c>
      <c r="E77" s="123">
        <v>3927642481</v>
      </c>
      <c r="F77" s="147">
        <f t="shared" si="3"/>
        <v>-2852280.6500000954</v>
      </c>
      <c r="G77" s="58" t="s">
        <v>35</v>
      </c>
      <c r="H77" s="75"/>
      <c r="I77" s="124"/>
      <c r="J77" s="75"/>
      <c r="K77" s="75"/>
      <c r="L77" s="68" t="s">
        <v>34</v>
      </c>
    </row>
    <row r="78" spans="1:12" x14ac:dyDescent="0.35">
      <c r="A78" s="64" t="s">
        <v>341</v>
      </c>
      <c r="B78" s="103" t="s">
        <v>342</v>
      </c>
      <c r="C78" s="123">
        <v>10959059</v>
      </c>
      <c r="D78" s="120">
        <f t="shared" si="2"/>
        <v>3935749259.3499999</v>
      </c>
      <c r="E78" s="123">
        <v>3938601540</v>
      </c>
      <c r="F78" s="147">
        <f t="shared" si="3"/>
        <v>-2852280.6500000954</v>
      </c>
      <c r="G78" s="58" t="s">
        <v>35</v>
      </c>
      <c r="H78" s="75"/>
      <c r="I78" s="124"/>
      <c r="J78" s="75"/>
      <c r="K78" s="75"/>
      <c r="L78" s="68" t="s">
        <v>34</v>
      </c>
    </row>
    <row r="79" spans="1:12" s="4" customFormat="1" x14ac:dyDescent="0.35">
      <c r="A79" s="143" t="s">
        <v>338</v>
      </c>
      <c r="B79" s="144" t="s">
        <v>339</v>
      </c>
      <c r="C79" s="140">
        <v>37048697</v>
      </c>
      <c r="D79" s="136">
        <f t="shared" si="2"/>
        <v>3972797956.3499999</v>
      </c>
      <c r="E79" s="140">
        <v>3975650237</v>
      </c>
      <c r="F79" s="130">
        <f t="shared" si="3"/>
        <v>-2852280.6500000954</v>
      </c>
      <c r="G79" s="137" t="s">
        <v>35</v>
      </c>
      <c r="H79" s="145" t="s">
        <v>266</v>
      </c>
      <c r="I79" s="146" t="s">
        <v>271</v>
      </c>
      <c r="J79" s="145"/>
      <c r="K79" s="145"/>
      <c r="L79" s="139" t="s">
        <v>34</v>
      </c>
    </row>
    <row r="80" spans="1:12" x14ac:dyDescent="0.35">
      <c r="A80" s="64" t="s">
        <v>309</v>
      </c>
      <c r="B80" s="103" t="s">
        <v>310</v>
      </c>
      <c r="C80" s="123">
        <v>6071566</v>
      </c>
      <c r="D80" s="120">
        <f t="shared" si="2"/>
        <v>3978869522.3499999</v>
      </c>
      <c r="E80" s="123"/>
      <c r="F80" s="147">
        <f t="shared" si="3"/>
        <v>3978869522.3499999</v>
      </c>
      <c r="G80" s="58" t="s">
        <v>35</v>
      </c>
      <c r="H80" s="75"/>
      <c r="I80" s="124"/>
      <c r="J80" s="75"/>
      <c r="K80" s="75"/>
      <c r="L80" s="68" t="s">
        <v>34</v>
      </c>
    </row>
    <row r="81" spans="1:16" x14ac:dyDescent="0.35">
      <c r="A81" s="64" t="s">
        <v>324</v>
      </c>
      <c r="B81" s="103" t="s">
        <v>325</v>
      </c>
      <c r="C81" s="123">
        <v>4828440</v>
      </c>
      <c r="D81" s="120">
        <f t="shared" si="2"/>
        <v>3983697962.3499999</v>
      </c>
      <c r="E81" s="123"/>
      <c r="F81" s="147">
        <f t="shared" si="3"/>
        <v>3983697962.3499999</v>
      </c>
      <c r="G81" s="58" t="s">
        <v>35</v>
      </c>
      <c r="H81" s="75"/>
      <c r="I81" s="124"/>
      <c r="J81" s="75"/>
      <c r="K81" s="75"/>
      <c r="L81" s="68" t="s">
        <v>34</v>
      </c>
    </row>
    <row r="82" spans="1:16" x14ac:dyDescent="0.35">
      <c r="A82" s="64"/>
      <c r="B82" s="103"/>
      <c r="C82" s="123"/>
      <c r="D82" s="140"/>
      <c r="E82" s="123"/>
      <c r="F82" s="123"/>
      <c r="G82" s="137"/>
      <c r="H82" s="75"/>
      <c r="I82" s="124"/>
      <c r="J82" s="75"/>
      <c r="K82" s="75"/>
      <c r="L82" s="139" t="s">
        <v>34</v>
      </c>
    </row>
    <row r="83" spans="1:16" x14ac:dyDescent="0.35">
      <c r="A83" s="64"/>
      <c r="B83" s="103"/>
      <c r="C83" s="123"/>
      <c r="D83" s="140"/>
      <c r="E83" s="123"/>
      <c r="F83" s="123"/>
      <c r="G83" s="137"/>
      <c r="H83" s="75"/>
      <c r="I83" s="124"/>
      <c r="J83" s="75"/>
      <c r="K83" s="75"/>
      <c r="L83" s="139" t="s">
        <v>34</v>
      </c>
    </row>
    <row r="84" spans="1:16" x14ac:dyDescent="0.35">
      <c r="A84" s="64"/>
      <c r="B84" s="103"/>
      <c r="C84" s="123"/>
      <c r="D84" s="140"/>
      <c r="E84" s="123"/>
      <c r="F84" s="123"/>
      <c r="G84" s="137"/>
      <c r="H84" s="75"/>
      <c r="I84" s="124"/>
      <c r="J84" s="75"/>
      <c r="K84" s="75"/>
      <c r="L84" s="139" t="s">
        <v>34</v>
      </c>
    </row>
    <row r="85" spans="1:16" x14ac:dyDescent="0.35">
      <c r="A85" s="64"/>
      <c r="B85" s="103"/>
      <c r="C85" s="123"/>
      <c r="D85" s="140"/>
      <c r="E85" s="123"/>
      <c r="F85" s="123"/>
      <c r="G85" s="137"/>
      <c r="H85" s="75"/>
      <c r="I85" s="124"/>
      <c r="J85" s="75"/>
      <c r="K85" s="75"/>
      <c r="L85" s="139" t="s">
        <v>34</v>
      </c>
    </row>
    <row r="86" spans="1:16" x14ac:dyDescent="0.35">
      <c r="A86" s="64"/>
      <c r="B86" s="103"/>
      <c r="C86" s="123"/>
      <c r="D86" s="140"/>
      <c r="E86" s="123"/>
      <c r="F86" s="123"/>
      <c r="G86" s="137"/>
      <c r="H86" s="75"/>
      <c r="I86" s="124"/>
      <c r="J86" s="75"/>
      <c r="K86" s="75"/>
      <c r="L86" s="139" t="s">
        <v>34</v>
      </c>
    </row>
    <row r="87" spans="1:16" x14ac:dyDescent="0.35">
      <c r="A87" s="64"/>
      <c r="B87" s="103"/>
      <c r="C87" s="123"/>
      <c r="D87" s="140"/>
      <c r="E87" s="123"/>
      <c r="F87" s="123"/>
      <c r="G87" s="124"/>
      <c r="H87" s="75"/>
      <c r="I87" s="124"/>
      <c r="J87" s="75"/>
      <c r="K87" s="75"/>
      <c r="L87" s="142"/>
    </row>
    <row r="88" spans="1:16" ht="15" thickBot="1" x14ac:dyDescent="0.4">
      <c r="A88" s="64"/>
      <c r="B88" s="103"/>
      <c r="C88" s="123"/>
      <c r="D88" s="123"/>
      <c r="E88" s="123"/>
      <c r="F88" s="123"/>
      <c r="G88" s="124"/>
      <c r="H88" s="75"/>
      <c r="I88" s="124"/>
      <c r="J88" s="75"/>
      <c r="K88" s="75"/>
      <c r="L88" s="76"/>
    </row>
    <row r="89" spans="1:16" ht="15" thickBot="1" x14ac:dyDescent="0.4">
      <c r="A89" s="59"/>
      <c r="B89" s="119"/>
      <c r="C89" s="125">
        <f>SUM(C3:C88)</f>
        <v>3983697962.3499999</v>
      </c>
      <c r="D89" s="125"/>
      <c r="E89" s="125"/>
      <c r="F89" s="125"/>
      <c r="G89" s="119"/>
      <c r="H89" s="72"/>
      <c r="I89" s="119"/>
      <c r="J89" s="72"/>
      <c r="K89" s="72"/>
      <c r="L89" s="126"/>
      <c r="P89">
        <f>SUBTOTAL(9,C8:C31)</f>
        <v>1354757097.3500001</v>
      </c>
    </row>
    <row r="91" spans="1:16" x14ac:dyDescent="0.35">
      <c r="C91" s="7"/>
      <c r="D91" s="7"/>
      <c r="E91" s="7"/>
      <c r="F91" s="7"/>
    </row>
    <row r="92" spans="1:16" s="4" customFormat="1" x14ac:dyDescent="0.35">
      <c r="A92" s="24" t="s">
        <v>414</v>
      </c>
      <c r="B92" s="24"/>
      <c r="C92" s="194">
        <f>SUM(C8:C87)</f>
        <v>3778338484.3500004</v>
      </c>
      <c r="D92" s="194"/>
      <c r="E92" s="194"/>
      <c r="F92" s="194"/>
      <c r="G92" s="24"/>
      <c r="I92" s="195"/>
    </row>
    <row r="93" spans="1:16" x14ac:dyDescent="0.35">
      <c r="C93" s="7"/>
      <c r="D93" s="7"/>
      <c r="E93" s="7"/>
      <c r="F93" s="7"/>
    </row>
    <row r="94" spans="1:16" x14ac:dyDescent="0.35">
      <c r="C94" s="8"/>
      <c r="D94" s="8"/>
      <c r="E94" s="8"/>
      <c r="F94" s="8"/>
    </row>
  </sheetData>
  <autoFilter ref="A2:L89" xr:uid="{00000000-0009-0000-0000-000002000000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7168-05BB-4A50-87D6-266151FBCA0B}">
  <dimension ref="A1:L24"/>
  <sheetViews>
    <sheetView topLeftCell="A16" workbookViewId="0">
      <selection activeCell="I19" sqref="I19"/>
    </sheetView>
  </sheetViews>
  <sheetFormatPr defaultRowHeight="14.5" x14ac:dyDescent="0.35"/>
  <cols>
    <col min="1" max="1" width="12.26953125" customWidth="1"/>
    <col min="2" max="2" width="10.08984375" bestFit="1" customWidth="1"/>
    <col min="3" max="4" width="10.81640625" bestFit="1" customWidth="1"/>
    <col min="5" max="5" width="9.81640625" bestFit="1" customWidth="1"/>
    <col min="6" max="6" width="10.81640625" bestFit="1" customWidth="1"/>
    <col min="7" max="7" width="13.90625" bestFit="1" customWidth="1"/>
    <col min="8" max="8" width="13.26953125" bestFit="1" customWidth="1"/>
    <col min="9" max="9" width="20.26953125" bestFit="1" customWidth="1"/>
    <col min="10" max="10" width="10.81640625" bestFit="1" customWidth="1"/>
    <col min="11" max="11" width="13.36328125" bestFit="1" customWidth="1"/>
    <col min="12" max="12" width="11.36328125" bestFit="1" customWidth="1"/>
  </cols>
  <sheetData>
    <row r="1" spans="1:12" ht="15" thickBot="1" x14ac:dyDescent="0.4">
      <c r="A1" s="209" t="s">
        <v>422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ht="29.5" thickBot="1" x14ac:dyDescent="0.4">
      <c r="A2" s="214" t="s">
        <v>20</v>
      </c>
      <c r="B2" s="215" t="s">
        <v>21</v>
      </c>
      <c r="C2" s="215" t="s">
        <v>22</v>
      </c>
      <c r="D2" s="215" t="s">
        <v>241</v>
      </c>
      <c r="E2" s="215" t="s">
        <v>242</v>
      </c>
      <c r="F2" s="215" t="s">
        <v>243</v>
      </c>
      <c r="G2" s="215" t="s">
        <v>23</v>
      </c>
      <c r="H2" s="215" t="s">
        <v>24</v>
      </c>
      <c r="I2" s="215" t="s">
        <v>25</v>
      </c>
      <c r="J2" s="215" t="s">
        <v>25</v>
      </c>
      <c r="K2" s="215" t="s">
        <v>30</v>
      </c>
      <c r="L2" s="216" t="s">
        <v>33</v>
      </c>
    </row>
    <row r="3" spans="1:12" x14ac:dyDescent="0.35">
      <c r="A3" s="217" t="s">
        <v>0</v>
      </c>
      <c r="B3" s="218"/>
      <c r="C3" s="219"/>
      <c r="D3" s="219">
        <f>+C3</f>
        <v>0</v>
      </c>
      <c r="E3" s="219"/>
      <c r="F3" s="219">
        <f>+D3-E3</f>
        <v>0</v>
      </c>
      <c r="G3" s="220"/>
      <c r="H3" s="221"/>
      <c r="I3" s="220"/>
      <c r="J3" s="221"/>
      <c r="K3" s="221"/>
      <c r="L3" s="222"/>
    </row>
    <row r="4" spans="1:12" x14ac:dyDescent="0.35">
      <c r="A4" s="134" t="s">
        <v>1</v>
      </c>
      <c r="B4" s="135"/>
      <c r="C4" s="136"/>
      <c r="D4" s="136">
        <v>824916894</v>
      </c>
      <c r="E4" s="136"/>
      <c r="F4" s="136">
        <f>+D4-E4</f>
        <v>824916894</v>
      </c>
      <c r="G4" s="137"/>
      <c r="H4" s="138"/>
      <c r="I4" s="137"/>
      <c r="J4" s="138"/>
      <c r="K4" s="138"/>
      <c r="L4" s="139"/>
    </row>
    <row r="5" spans="1:12" x14ac:dyDescent="0.35">
      <c r="A5" s="134" t="s">
        <v>2</v>
      </c>
      <c r="B5" s="135" t="s">
        <v>423</v>
      </c>
      <c r="C5" s="136">
        <v>35449029</v>
      </c>
      <c r="D5" s="136">
        <f t="shared" ref="D5:D7" si="0">+D4+C5</f>
        <v>860365923</v>
      </c>
      <c r="E5" s="136"/>
      <c r="F5" s="136">
        <f t="shared" ref="F5:F7" si="1">+D5-E5</f>
        <v>860365923</v>
      </c>
      <c r="G5" s="137" t="s">
        <v>35</v>
      </c>
      <c r="H5" s="138" t="s">
        <v>266</v>
      </c>
      <c r="I5" s="137" t="s">
        <v>31</v>
      </c>
      <c r="J5" s="138"/>
      <c r="K5" s="138"/>
      <c r="L5" s="139" t="s">
        <v>34</v>
      </c>
    </row>
    <row r="6" spans="1:12" x14ac:dyDescent="0.35">
      <c r="A6" s="134" t="s">
        <v>424</v>
      </c>
      <c r="B6" s="135"/>
      <c r="C6" s="136">
        <v>1923663741</v>
      </c>
      <c r="D6" s="136">
        <f t="shared" si="0"/>
        <v>2784029664</v>
      </c>
      <c r="E6" s="136"/>
      <c r="F6" s="136">
        <f t="shared" si="1"/>
        <v>2784029664</v>
      </c>
      <c r="G6" s="137" t="s">
        <v>35</v>
      </c>
      <c r="H6" s="138"/>
      <c r="I6" s="137"/>
      <c r="J6" s="138"/>
      <c r="K6" s="138"/>
      <c r="L6" s="139"/>
    </row>
    <row r="7" spans="1:12" x14ac:dyDescent="0.35">
      <c r="A7" s="134" t="s">
        <v>18</v>
      </c>
      <c r="B7" s="135"/>
      <c r="C7" s="136">
        <v>78491047</v>
      </c>
      <c r="D7" s="136">
        <f t="shared" si="0"/>
        <v>2862520711</v>
      </c>
      <c r="E7" s="136"/>
      <c r="F7" s="136">
        <f t="shared" si="1"/>
        <v>2862520711</v>
      </c>
      <c r="G7" s="137" t="s">
        <v>35</v>
      </c>
      <c r="H7" s="138"/>
      <c r="I7" s="137"/>
      <c r="J7" s="138"/>
      <c r="K7" s="138"/>
      <c r="L7" s="139"/>
    </row>
    <row r="8" spans="1:12" x14ac:dyDescent="0.35">
      <c r="A8" s="134"/>
      <c r="B8" s="135"/>
      <c r="C8" s="136"/>
      <c r="D8" s="136"/>
      <c r="E8" s="136"/>
      <c r="F8" s="136"/>
      <c r="G8" s="137"/>
      <c r="H8" s="138"/>
      <c r="I8" s="137"/>
      <c r="J8" s="138"/>
      <c r="K8" s="138"/>
      <c r="L8" s="139"/>
    </row>
    <row r="9" spans="1:12" ht="15" thickBot="1" x14ac:dyDescent="0.4">
      <c r="A9" s="143"/>
      <c r="B9" s="144"/>
      <c r="C9" s="140"/>
      <c r="D9" s="140"/>
      <c r="E9" s="140"/>
      <c r="F9" s="140"/>
      <c r="G9" s="146"/>
      <c r="H9" s="145"/>
      <c r="I9" s="146"/>
      <c r="J9" s="145"/>
      <c r="K9" s="145"/>
      <c r="L9" s="142"/>
    </row>
    <row r="10" spans="1:12" ht="15" thickBot="1" x14ac:dyDescent="0.4">
      <c r="A10" s="206" t="s">
        <v>75</v>
      </c>
      <c r="B10" s="224"/>
      <c r="C10" s="223">
        <f>SUM(C5:C9)</f>
        <v>2037603817</v>
      </c>
      <c r="D10" s="223"/>
      <c r="E10" s="223"/>
      <c r="F10" s="223"/>
      <c r="G10" s="119"/>
      <c r="H10" s="72"/>
      <c r="I10" s="119"/>
      <c r="J10" s="72"/>
      <c r="K10" s="72"/>
      <c r="L10" s="73"/>
    </row>
    <row r="15" spans="1:12" ht="15" thickBot="1" x14ac:dyDescent="0.4">
      <c r="A15" s="209" t="s">
        <v>425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</row>
    <row r="16" spans="1:12" ht="29.5" thickBot="1" x14ac:dyDescent="0.4">
      <c r="A16" s="214" t="s">
        <v>20</v>
      </c>
      <c r="B16" s="215" t="s">
        <v>21</v>
      </c>
      <c r="C16" s="215" t="s">
        <v>22</v>
      </c>
      <c r="D16" s="215" t="s">
        <v>241</v>
      </c>
      <c r="E16" s="215" t="s">
        <v>242</v>
      </c>
      <c r="F16" s="215" t="s">
        <v>243</v>
      </c>
      <c r="G16" s="215" t="s">
        <v>23</v>
      </c>
      <c r="H16" s="215" t="s">
        <v>24</v>
      </c>
      <c r="I16" s="215" t="s">
        <v>25</v>
      </c>
      <c r="J16" s="215" t="s">
        <v>25</v>
      </c>
      <c r="K16" s="215" t="s">
        <v>30</v>
      </c>
      <c r="L16" s="216" t="s">
        <v>33</v>
      </c>
    </row>
    <row r="17" spans="1:12" x14ac:dyDescent="0.35">
      <c r="A17" s="217" t="s">
        <v>0</v>
      </c>
      <c r="B17" s="218"/>
      <c r="C17" s="219"/>
      <c r="D17" s="219">
        <f>+C17</f>
        <v>0</v>
      </c>
      <c r="E17" s="219"/>
      <c r="F17" s="219">
        <f>+D17-E17</f>
        <v>0</v>
      </c>
      <c r="G17" s="220"/>
      <c r="H17" s="221"/>
      <c r="I17" s="220"/>
      <c r="J17" s="221"/>
      <c r="K17" s="221"/>
      <c r="L17" s="222"/>
    </row>
    <row r="18" spans="1:12" x14ac:dyDescent="0.35">
      <c r="A18" s="134" t="s">
        <v>1</v>
      </c>
      <c r="B18" s="135"/>
      <c r="C18" s="136"/>
      <c r="D18" s="136">
        <v>755502593</v>
      </c>
      <c r="E18" s="136"/>
      <c r="F18" s="136">
        <f>+D18-E18</f>
        <v>755502593</v>
      </c>
      <c r="G18" s="137"/>
      <c r="H18" s="138"/>
      <c r="I18" s="137"/>
      <c r="J18" s="138"/>
      <c r="K18" s="138"/>
      <c r="L18" s="139"/>
    </row>
    <row r="19" spans="1:12" x14ac:dyDescent="0.35">
      <c r="A19" s="134" t="s">
        <v>2</v>
      </c>
      <c r="B19" s="135" t="s">
        <v>426</v>
      </c>
      <c r="C19" s="136">
        <v>48576002</v>
      </c>
      <c r="D19" s="136">
        <f t="shared" ref="D19:D21" si="2">+D18+C19</f>
        <v>804078595</v>
      </c>
      <c r="E19" s="136"/>
      <c r="F19" s="136">
        <f t="shared" ref="F19:F21" si="3">+D19-E19</f>
        <v>804078595</v>
      </c>
      <c r="G19" s="137" t="s">
        <v>35</v>
      </c>
      <c r="H19" s="138" t="s">
        <v>266</v>
      </c>
      <c r="I19" s="137" t="s">
        <v>31</v>
      </c>
      <c r="J19" s="138"/>
      <c r="K19" s="138"/>
      <c r="L19" s="139" t="s">
        <v>34</v>
      </c>
    </row>
    <row r="20" spans="1:12" x14ac:dyDescent="0.35">
      <c r="A20" s="134" t="s">
        <v>427</v>
      </c>
      <c r="B20" s="135"/>
      <c r="C20" s="136">
        <v>1920628939</v>
      </c>
      <c r="D20" s="136">
        <f t="shared" si="2"/>
        <v>2724707534</v>
      </c>
      <c r="E20" s="136"/>
      <c r="F20" s="136">
        <f t="shared" si="3"/>
        <v>2724707534</v>
      </c>
      <c r="G20" s="137" t="s">
        <v>35</v>
      </c>
      <c r="H20" s="138"/>
      <c r="I20" s="137"/>
      <c r="J20" s="138"/>
      <c r="K20" s="138"/>
      <c r="L20" s="139"/>
    </row>
    <row r="21" spans="1:12" x14ac:dyDescent="0.35">
      <c r="A21" s="134" t="s">
        <v>19</v>
      </c>
      <c r="B21" s="135"/>
      <c r="C21" s="136">
        <v>61882194.130000003</v>
      </c>
      <c r="D21" s="136">
        <f t="shared" si="2"/>
        <v>2786589728.1300001</v>
      </c>
      <c r="E21" s="136"/>
      <c r="F21" s="136">
        <f t="shared" si="3"/>
        <v>2786589728.1300001</v>
      </c>
      <c r="G21" s="137" t="s">
        <v>35</v>
      </c>
      <c r="H21" s="138"/>
      <c r="I21" s="137"/>
      <c r="J21" s="138"/>
      <c r="K21" s="138"/>
      <c r="L21" s="139"/>
    </row>
    <row r="22" spans="1:12" x14ac:dyDescent="0.35">
      <c r="A22" s="134"/>
      <c r="B22" s="135"/>
      <c r="C22" s="136"/>
      <c r="D22" s="136"/>
      <c r="E22" s="136"/>
      <c r="F22" s="136"/>
      <c r="G22" s="137"/>
      <c r="H22" s="138"/>
      <c r="I22" s="137"/>
      <c r="J22" s="138"/>
      <c r="K22" s="138"/>
      <c r="L22" s="139"/>
    </row>
    <row r="23" spans="1:12" ht="15" thickBot="1" x14ac:dyDescent="0.4">
      <c r="A23" s="143"/>
      <c r="B23" s="144"/>
      <c r="C23" s="140"/>
      <c r="D23" s="140"/>
      <c r="E23" s="140"/>
      <c r="F23" s="140"/>
      <c r="G23" s="146"/>
      <c r="H23" s="145"/>
      <c r="I23" s="146"/>
      <c r="J23" s="145"/>
      <c r="K23" s="145"/>
      <c r="L23" s="142"/>
    </row>
    <row r="24" spans="1:12" ht="15" thickBot="1" x14ac:dyDescent="0.4">
      <c r="A24" s="206" t="s">
        <v>75</v>
      </c>
      <c r="B24" s="224"/>
      <c r="C24" s="223">
        <f>SUM(C19:C23)</f>
        <v>2031087135.1300001</v>
      </c>
      <c r="D24" s="223"/>
      <c r="E24" s="223"/>
      <c r="F24" s="223"/>
      <c r="G24" s="119"/>
      <c r="H24" s="72"/>
      <c r="I24" s="119"/>
      <c r="J24" s="72"/>
      <c r="K24" s="72"/>
      <c r="L24" s="73"/>
    </row>
  </sheetData>
  <mergeCells count="4">
    <mergeCell ref="A1:L1"/>
    <mergeCell ref="A10:B10"/>
    <mergeCell ref="A15:L15"/>
    <mergeCell ref="A24:B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3"/>
  <sheetViews>
    <sheetView workbookViewId="0">
      <selection activeCell="K15" sqref="K15"/>
    </sheetView>
  </sheetViews>
  <sheetFormatPr defaultRowHeight="14.5" x14ac:dyDescent="0.35"/>
  <cols>
    <col min="2" max="2" width="14.54296875" customWidth="1"/>
    <col min="3" max="3" width="13.453125" customWidth="1"/>
  </cols>
  <sheetData>
    <row r="3" spans="2:3" s="2" customFormat="1" x14ac:dyDescent="0.35">
      <c r="B3" s="2" t="s">
        <v>418</v>
      </c>
      <c r="C3" s="2" t="s">
        <v>49</v>
      </c>
    </row>
    <row r="4" spans="2:3" x14ac:dyDescent="0.35">
      <c r="B4" s="2" t="s">
        <v>415</v>
      </c>
      <c r="C4" s="6">
        <f>'PKG-5'!C92</f>
        <v>3778338484.3500004</v>
      </c>
    </row>
    <row r="5" spans="2:3" x14ac:dyDescent="0.35">
      <c r="B5" s="2" t="s">
        <v>416</v>
      </c>
      <c r="C5" s="6">
        <f>+'PKG-2'!C45</f>
        <v>1483744802.1900001</v>
      </c>
    </row>
    <row r="6" spans="2:3" x14ac:dyDescent="0.35">
      <c r="B6" s="2" t="s">
        <v>417</v>
      </c>
      <c r="C6" s="6">
        <f>'PKG-3'!C77</f>
        <v>1988323532.0913928</v>
      </c>
    </row>
    <row r="7" spans="2:3" x14ac:dyDescent="0.35">
      <c r="B7" s="2" t="s">
        <v>419</v>
      </c>
      <c r="C7" s="6"/>
    </row>
    <row r="8" spans="2:3" x14ac:dyDescent="0.35">
      <c r="B8" s="2" t="s">
        <v>420</v>
      </c>
      <c r="C8" s="6"/>
    </row>
    <row r="9" spans="2:3" x14ac:dyDescent="0.35">
      <c r="B9" s="2"/>
      <c r="C9" s="6"/>
    </row>
    <row r="10" spans="2:3" x14ac:dyDescent="0.35">
      <c r="B10" s="2"/>
      <c r="C10" s="6"/>
    </row>
    <row r="11" spans="2:3" x14ac:dyDescent="0.35">
      <c r="C11" s="4">
        <f>SUM(C4:C6)</f>
        <v>7250406818.6313934</v>
      </c>
    </row>
    <row r="13" spans="2:3" x14ac:dyDescent="0.35">
      <c r="B13" t="s">
        <v>421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R74"/>
  <sheetViews>
    <sheetView topLeftCell="A22" workbookViewId="0">
      <selection activeCell="B25" sqref="B25:C29"/>
    </sheetView>
  </sheetViews>
  <sheetFormatPr defaultRowHeight="14.5" x14ac:dyDescent="0.35"/>
  <cols>
    <col min="2" max="2" width="10.6328125" bestFit="1" customWidth="1"/>
    <col min="3" max="3" width="13.453125" bestFit="1" customWidth="1"/>
    <col min="4" max="4" width="12" bestFit="1" customWidth="1"/>
    <col min="5" max="5" width="11" bestFit="1" customWidth="1"/>
    <col min="7" max="7" width="12" bestFit="1" customWidth="1"/>
    <col min="8" max="8" width="13.6328125" bestFit="1" customWidth="1"/>
    <col min="9" max="10" width="12.6328125" bestFit="1" customWidth="1"/>
    <col min="12" max="12" width="11" bestFit="1" customWidth="1"/>
    <col min="14" max="14" width="12" bestFit="1" customWidth="1"/>
    <col min="16" max="16" width="11" bestFit="1" customWidth="1"/>
  </cols>
  <sheetData>
    <row r="3" spans="2:18" ht="14.4" x14ac:dyDescent="0.3">
      <c r="B3" s="1">
        <v>44268</v>
      </c>
      <c r="C3">
        <v>10</v>
      </c>
      <c r="H3" s="6"/>
      <c r="J3" s="9"/>
    </row>
    <row r="4" spans="2:18" ht="14.4" x14ac:dyDescent="0.3">
      <c r="B4" s="1">
        <v>44286</v>
      </c>
      <c r="C4">
        <v>5</v>
      </c>
      <c r="H4" s="6">
        <v>119088320.38</v>
      </c>
      <c r="I4" s="6"/>
      <c r="J4">
        <v>3232019.83</v>
      </c>
      <c r="L4" s="6">
        <f>H4-I4-J4</f>
        <v>115856300.55</v>
      </c>
      <c r="N4">
        <v>1243495110.9000001</v>
      </c>
      <c r="P4">
        <f>N4/1.12</f>
        <v>1110263491.875</v>
      </c>
    </row>
    <row r="5" spans="2:18" ht="14.4" x14ac:dyDescent="0.3">
      <c r="B5" s="1">
        <v>44294</v>
      </c>
      <c r="C5">
        <v>5</v>
      </c>
      <c r="H5" s="6"/>
      <c r="I5" s="9"/>
      <c r="J5" s="9"/>
      <c r="N5">
        <v>0</v>
      </c>
      <c r="P5">
        <f>P4*0.12</f>
        <v>133231619.02499999</v>
      </c>
    </row>
    <row r="6" spans="2:18" ht="14.4" x14ac:dyDescent="0.3">
      <c r="B6" s="1">
        <v>44302</v>
      </c>
      <c r="C6">
        <v>5</v>
      </c>
      <c r="N6">
        <v>1124406790.49</v>
      </c>
    </row>
    <row r="7" spans="2:18" ht="14.4" x14ac:dyDescent="0.3">
      <c r="B7" s="1">
        <v>44305</v>
      </c>
      <c r="C7">
        <v>2.5</v>
      </c>
      <c r="H7" s="6">
        <v>12475011.210000001</v>
      </c>
      <c r="I7" s="9">
        <v>381615.4914</v>
      </c>
      <c r="J7" s="12">
        <v>402134.43079999997</v>
      </c>
      <c r="L7" s="6">
        <f>H7-I7-J7</f>
        <v>11691261.287800001</v>
      </c>
      <c r="N7">
        <v>119088320.38</v>
      </c>
      <c r="P7" s="6">
        <f>P5-H4</f>
        <v>14143298.644999996</v>
      </c>
    </row>
    <row r="8" spans="2:18" ht="14.4" x14ac:dyDescent="0.3">
      <c r="B8" s="1">
        <v>44366</v>
      </c>
      <c r="C8">
        <v>15</v>
      </c>
      <c r="H8" s="6">
        <v>12475011.210000001</v>
      </c>
      <c r="I8" s="9">
        <v>381615.4914</v>
      </c>
      <c r="J8" s="12">
        <v>402134.43079999997</v>
      </c>
      <c r="L8" s="6">
        <f>H8-I8-J8</f>
        <v>11691261.287800001</v>
      </c>
    </row>
    <row r="9" spans="2:18" ht="14.4" x14ac:dyDescent="0.3">
      <c r="B9" s="1">
        <v>44468</v>
      </c>
      <c r="C9">
        <v>5</v>
      </c>
    </row>
    <row r="10" spans="2:18" ht="14.4" x14ac:dyDescent="0.3">
      <c r="B10" s="1">
        <v>44526</v>
      </c>
      <c r="C10">
        <v>10</v>
      </c>
      <c r="H10" s="11"/>
      <c r="I10" s="11"/>
      <c r="J10" s="11"/>
      <c r="P10" s="6">
        <f>P4*0.01</f>
        <v>11102634.918750001</v>
      </c>
    </row>
    <row r="11" spans="2:18" ht="14.4" x14ac:dyDescent="0.3">
      <c r="B11" s="1">
        <v>44540</v>
      </c>
      <c r="C11">
        <v>5</v>
      </c>
      <c r="H11" s="6">
        <f>+H4+H7+H8</f>
        <v>144038342.80000001</v>
      </c>
      <c r="I11" s="10"/>
      <c r="L11" s="6">
        <f>L4-L7-L8</f>
        <v>92473777.974399999</v>
      </c>
      <c r="P11" s="6">
        <f>+P10</f>
        <v>11102634.918750001</v>
      </c>
    </row>
    <row r="12" spans="2:18" ht="14.4" x14ac:dyDescent="0.3">
      <c r="C12">
        <f>SUM(C3:C11)</f>
        <v>62.5</v>
      </c>
      <c r="N12">
        <f>H7/0.01</f>
        <v>1247501121</v>
      </c>
    </row>
    <row r="13" spans="2:18" ht="14.4" x14ac:dyDescent="0.3">
      <c r="N13">
        <f>N12-N4</f>
        <v>4006010.0999999046</v>
      </c>
    </row>
    <row r="14" spans="2:18" ht="14.4" x14ac:dyDescent="0.3">
      <c r="B14" s="16"/>
      <c r="C14" s="17" t="s">
        <v>49</v>
      </c>
      <c r="D14" s="17" t="s">
        <v>50</v>
      </c>
      <c r="E14" s="17" t="s">
        <v>51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>
        <f>+P5+P10+P11</f>
        <v>155436888.86249998</v>
      </c>
      <c r="R14" s="6">
        <f>+P14-H11</f>
        <v>11398546.06249997</v>
      </c>
    </row>
    <row r="15" spans="2:18" ht="14.4" x14ac:dyDescent="0.3">
      <c r="B15" s="2" t="s">
        <v>46</v>
      </c>
      <c r="C15">
        <v>1197294793</v>
      </c>
      <c r="D15" s="6">
        <v>92473777.974399999</v>
      </c>
      <c r="E15" s="6">
        <f>C15-D15</f>
        <v>1104821015.0256</v>
      </c>
    </row>
    <row r="16" spans="2:18" ht="14.4" x14ac:dyDescent="0.3">
      <c r="B16" s="2" t="s">
        <v>47</v>
      </c>
      <c r="C16" s="6">
        <v>661336400</v>
      </c>
      <c r="D16">
        <f>75817084-12636181</f>
        <v>63180903</v>
      </c>
      <c r="E16" s="6">
        <f t="shared" ref="E16:E17" si="0">C16-D16</f>
        <v>598155497</v>
      </c>
      <c r="I16">
        <f>I8/0.01</f>
        <v>38161549.140000001</v>
      </c>
      <c r="N16">
        <f>N12/1.12</f>
        <v>1113840286.6071427</v>
      </c>
    </row>
    <row r="17" spans="2:16" ht="14.4" x14ac:dyDescent="0.3">
      <c r="B17" s="2" t="s">
        <v>48</v>
      </c>
      <c r="C17" s="6">
        <v>666059384.63219285</v>
      </c>
      <c r="D17">
        <f>77624477-11175002</f>
        <v>66449475</v>
      </c>
      <c r="E17" s="6">
        <f t="shared" si="0"/>
        <v>599609909.63219285</v>
      </c>
      <c r="I17">
        <f>I16*0.12</f>
        <v>4579385.8968000002</v>
      </c>
      <c r="L17" s="6">
        <f>H4-H7-H8</f>
        <v>94138297.959999979</v>
      </c>
      <c r="N17" s="6">
        <f>N16*0.12</f>
        <v>133660834.39285712</v>
      </c>
      <c r="P17" s="6">
        <f>P5-P10-P11</f>
        <v>111026349.18749999</v>
      </c>
    </row>
    <row r="18" spans="2:16" ht="14.4" x14ac:dyDescent="0.3">
      <c r="C18" s="4">
        <f>SUM(C15:C17)</f>
        <v>2524690577.6321926</v>
      </c>
      <c r="E18" s="6">
        <f>SUM(E15:E17)</f>
        <v>2302586421.657793</v>
      </c>
      <c r="N18" s="6">
        <f>SUM(N16:N17)</f>
        <v>1247501120.9999998</v>
      </c>
    </row>
    <row r="19" spans="2:16" ht="14.4" x14ac:dyDescent="0.3">
      <c r="P19" s="6">
        <f>P17-L17</f>
        <v>16888051.227500007</v>
      </c>
    </row>
    <row r="20" spans="2:16" ht="14.4" x14ac:dyDescent="0.3">
      <c r="E20" s="6">
        <f>E18*0.35%</f>
        <v>8059052.4758022744</v>
      </c>
      <c r="N20">
        <f>N16*0.01</f>
        <v>11138402.866071427</v>
      </c>
    </row>
    <row r="21" spans="2:16" ht="14.4" x14ac:dyDescent="0.3">
      <c r="E21">
        <v>6850000</v>
      </c>
    </row>
    <row r="22" spans="2:16" ht="14.4" x14ac:dyDescent="0.3">
      <c r="E22" s="6">
        <f>E20-E21</f>
        <v>1209052.4758022744</v>
      </c>
    </row>
    <row r="24" spans="2:16" ht="14.4" x14ac:dyDescent="0.3">
      <c r="B24" s="202" t="s">
        <v>58</v>
      </c>
      <c r="C24" s="202"/>
      <c r="D24" s="202"/>
      <c r="E24" s="202"/>
    </row>
    <row r="25" spans="2:16" ht="14.4" x14ac:dyDescent="0.3">
      <c r="C25" t="s">
        <v>49</v>
      </c>
      <c r="D25" t="s">
        <v>50</v>
      </c>
      <c r="E25" t="s">
        <v>51</v>
      </c>
      <c r="G25" t="s">
        <v>50</v>
      </c>
      <c r="H25" t="s">
        <v>59</v>
      </c>
      <c r="J25" t="s">
        <v>60</v>
      </c>
    </row>
    <row r="26" spans="2:16" ht="14.4" x14ac:dyDescent="0.3">
      <c r="B26" s="2" t="s">
        <v>46</v>
      </c>
      <c r="C26">
        <v>1354757097.3500001</v>
      </c>
      <c r="D26" s="6">
        <v>92473777.974399999</v>
      </c>
      <c r="E26" s="6">
        <f>C26-D26</f>
        <v>1262283319.3756001</v>
      </c>
      <c r="G26">
        <f>148700737.59-10359940.98</f>
        <v>138340796.61000001</v>
      </c>
      <c r="H26" s="6">
        <f>(15281567.46*2)-2163854.37-2163854.37</f>
        <v>26235426.18</v>
      </c>
      <c r="J26" s="6">
        <f>C26-G26+H26</f>
        <v>1242651726.9200003</v>
      </c>
    </row>
    <row r="27" spans="2:16" ht="14.4" x14ac:dyDescent="0.3">
      <c r="B27" s="2" t="s">
        <v>47</v>
      </c>
      <c r="C27" s="6">
        <v>909540975.64999986</v>
      </c>
      <c r="D27">
        <f>75817084-12636181</f>
        <v>63180903</v>
      </c>
      <c r="E27" s="6">
        <f t="shared" ref="E27:E28" si="1">C27-D27</f>
        <v>846360072.64999986</v>
      </c>
      <c r="G27">
        <v>106415567.06249999</v>
      </c>
      <c r="H27" s="6">
        <v>17735927.845714286</v>
      </c>
      <c r="J27" s="6">
        <f t="shared" ref="J27:J28" si="2">C27-G27+H27</f>
        <v>820861336.43321419</v>
      </c>
    </row>
    <row r="28" spans="2:16" ht="14.4" x14ac:dyDescent="0.3">
      <c r="B28" s="2" t="s">
        <v>48</v>
      </c>
      <c r="C28" s="6">
        <v>735039808.76219285</v>
      </c>
      <c r="D28">
        <f>77624477-11175002</f>
        <v>66449475</v>
      </c>
      <c r="E28" s="6">
        <f t="shared" si="1"/>
        <v>668590333.76219285</v>
      </c>
      <c r="G28">
        <v>85240992.395357132</v>
      </c>
      <c r="H28" s="6">
        <v>12444421.350714285</v>
      </c>
      <c r="J28" s="6">
        <f t="shared" si="2"/>
        <v>662243237.71755004</v>
      </c>
    </row>
    <row r="29" spans="2:16" ht="14.4" x14ac:dyDescent="0.3">
      <c r="C29" s="4">
        <f>SUM(C26:C28)</f>
        <v>2999337881.7621927</v>
      </c>
      <c r="E29" s="6">
        <f>SUM(E26:E28)</f>
        <v>2777233725.7877927</v>
      </c>
      <c r="J29" s="14">
        <f>SUM(J26:J28)</f>
        <v>2725756301.0707645</v>
      </c>
    </row>
    <row r="31" spans="2:16" ht="14.4" x14ac:dyDescent="0.3">
      <c r="G31" t="s">
        <v>62</v>
      </c>
    </row>
    <row r="32" spans="2:16" ht="14.4" x14ac:dyDescent="0.3">
      <c r="B32" s="1">
        <v>44169</v>
      </c>
      <c r="C32" s="13">
        <v>10</v>
      </c>
      <c r="G32" s="1">
        <v>44151</v>
      </c>
      <c r="H32">
        <v>10</v>
      </c>
    </row>
    <row r="33" spans="2:9" ht="14.4" x14ac:dyDescent="0.3">
      <c r="B33" s="1">
        <v>44224</v>
      </c>
      <c r="C33" s="13">
        <v>15</v>
      </c>
      <c r="G33" s="1">
        <v>44215</v>
      </c>
      <c r="H33">
        <v>15</v>
      </c>
    </row>
    <row r="34" spans="2:9" ht="14.4" x14ac:dyDescent="0.3">
      <c r="B34" s="1">
        <v>44256</v>
      </c>
      <c r="C34" s="13">
        <v>20</v>
      </c>
      <c r="G34" s="1">
        <v>44242</v>
      </c>
      <c r="H34">
        <v>4</v>
      </c>
    </row>
    <row r="35" spans="2:9" ht="14.4" x14ac:dyDescent="0.3">
      <c r="B35" s="1">
        <v>44294</v>
      </c>
      <c r="C35" s="13">
        <v>20</v>
      </c>
      <c r="G35" s="1">
        <v>44266</v>
      </c>
      <c r="H35">
        <v>2</v>
      </c>
    </row>
    <row r="36" spans="2:9" x14ac:dyDescent="0.35">
      <c r="B36" s="1">
        <v>44299</v>
      </c>
      <c r="C36" s="13">
        <v>20</v>
      </c>
      <c r="G36" s="1">
        <v>44301</v>
      </c>
      <c r="H36">
        <v>0.2</v>
      </c>
    </row>
    <row r="37" spans="2:9" x14ac:dyDescent="0.35">
      <c r="B37" s="1">
        <v>44319</v>
      </c>
      <c r="C37" s="13">
        <v>0.9</v>
      </c>
      <c r="G37" s="1">
        <v>44335</v>
      </c>
      <c r="H37">
        <v>0.15</v>
      </c>
    </row>
    <row r="38" spans="2:9" x14ac:dyDescent="0.35">
      <c r="B38" s="1">
        <v>44429</v>
      </c>
      <c r="C38" s="13">
        <v>10</v>
      </c>
      <c r="G38" s="1">
        <v>44358</v>
      </c>
      <c r="H38">
        <v>-8.35</v>
      </c>
    </row>
    <row r="39" spans="2:9" x14ac:dyDescent="0.35">
      <c r="B39" s="1">
        <v>44461</v>
      </c>
      <c r="C39" s="13">
        <v>0.3</v>
      </c>
      <c r="G39" s="1">
        <v>44358</v>
      </c>
      <c r="H39">
        <v>5.35</v>
      </c>
    </row>
    <row r="40" spans="2:9" x14ac:dyDescent="0.35">
      <c r="B40" s="1">
        <v>44466</v>
      </c>
      <c r="C40" s="13">
        <v>10</v>
      </c>
      <c r="G40" s="1">
        <v>44409</v>
      </c>
      <c r="H40">
        <v>25</v>
      </c>
    </row>
    <row r="41" spans="2:9" x14ac:dyDescent="0.35">
      <c r="B41" s="1">
        <v>44502</v>
      </c>
      <c r="C41" s="13">
        <v>24.75</v>
      </c>
      <c r="G41" s="1">
        <v>44582</v>
      </c>
      <c r="H41">
        <v>6</v>
      </c>
    </row>
    <row r="42" spans="2:9" x14ac:dyDescent="0.35">
      <c r="B42" s="1">
        <v>44539</v>
      </c>
      <c r="C42" s="13">
        <v>10</v>
      </c>
      <c r="G42" s="1">
        <v>44627</v>
      </c>
      <c r="H42">
        <v>-7</v>
      </c>
    </row>
    <row r="43" spans="2:9" x14ac:dyDescent="0.35">
      <c r="B43" s="1">
        <v>44562</v>
      </c>
      <c r="C43" s="13">
        <v>15</v>
      </c>
    </row>
    <row r="44" spans="2:9" x14ac:dyDescent="0.35">
      <c r="B44" t="s">
        <v>61</v>
      </c>
      <c r="C44" s="13">
        <v>2.34</v>
      </c>
      <c r="G44" s="1">
        <v>44912</v>
      </c>
      <c r="H44">
        <v>0.4</v>
      </c>
    </row>
    <row r="45" spans="2:9" x14ac:dyDescent="0.35">
      <c r="B45" s="1">
        <v>44572</v>
      </c>
      <c r="C45" s="13">
        <v>1.25</v>
      </c>
      <c r="G45" s="1">
        <v>44874</v>
      </c>
      <c r="H45">
        <v>0.28000000000000003</v>
      </c>
    </row>
    <row r="46" spans="2:9" x14ac:dyDescent="0.35">
      <c r="B46" s="1">
        <v>44572</v>
      </c>
      <c r="C46" s="13">
        <v>0.6</v>
      </c>
      <c r="G46" s="1">
        <v>44876</v>
      </c>
      <c r="H46">
        <v>2</v>
      </c>
    </row>
    <row r="47" spans="2:9" x14ac:dyDescent="0.35">
      <c r="B47" s="1">
        <v>44573</v>
      </c>
      <c r="C47" s="13">
        <v>1</v>
      </c>
    </row>
    <row r="48" spans="2:9" x14ac:dyDescent="0.35">
      <c r="B48" s="1">
        <v>44573</v>
      </c>
      <c r="C48" s="13">
        <v>1</v>
      </c>
      <c r="H48">
        <f>SUM(H32:H46)</f>
        <v>55.03</v>
      </c>
      <c r="I48">
        <v>78.150000000000006</v>
      </c>
    </row>
    <row r="49" spans="2:9" x14ac:dyDescent="0.35">
      <c r="B49" s="1">
        <v>44576</v>
      </c>
      <c r="C49" s="13">
        <v>25</v>
      </c>
      <c r="I49">
        <f>I48-H48</f>
        <v>23.120000000000005</v>
      </c>
    </row>
    <row r="50" spans="2:9" x14ac:dyDescent="0.35">
      <c r="B50" s="1">
        <v>44620</v>
      </c>
      <c r="C50" s="13">
        <v>25</v>
      </c>
    </row>
    <row r="51" spans="2:9" x14ac:dyDescent="0.35">
      <c r="B51" t="s">
        <v>61</v>
      </c>
      <c r="C51" s="13">
        <v>0.93220999999999998</v>
      </c>
    </row>
    <row r="52" spans="2:9" x14ac:dyDescent="0.35">
      <c r="B52" s="1">
        <v>44621</v>
      </c>
      <c r="C52" s="13">
        <v>0.124</v>
      </c>
    </row>
    <row r="53" spans="2:9" x14ac:dyDescent="0.35">
      <c r="B53" s="1">
        <v>44632</v>
      </c>
      <c r="C53" s="13">
        <v>40</v>
      </c>
    </row>
    <row r="54" spans="2:9" x14ac:dyDescent="0.35">
      <c r="C54" s="15">
        <f>SUM(C32:C53)</f>
        <v>253.19620999999998</v>
      </c>
      <c r="D54">
        <f>C29*0.01/100000</f>
        <v>299.93378817621925</v>
      </c>
      <c r="E54" s="13">
        <f>D54-C54</f>
        <v>46.737578176219273</v>
      </c>
      <c r="G54">
        <f>J29*0.01/100000</f>
        <v>272.57563010707645</v>
      </c>
    </row>
    <row r="55" spans="2:9" x14ac:dyDescent="0.35">
      <c r="G55" s="13">
        <f>G54-C54</f>
        <v>19.37942010707647</v>
      </c>
    </row>
    <row r="62" spans="2:9" x14ac:dyDescent="0.35">
      <c r="B62" t="s">
        <v>410</v>
      </c>
      <c r="C62" s="6">
        <f>+'PKG-2'!C45</f>
        <v>1483744802.1900001</v>
      </c>
    </row>
    <row r="63" spans="2:9" x14ac:dyDescent="0.35">
      <c r="B63" t="s">
        <v>411</v>
      </c>
      <c r="C63" s="6">
        <f>+'PKG-3'!C77</f>
        <v>1988323532.0913928</v>
      </c>
    </row>
    <row r="64" spans="2:9" x14ac:dyDescent="0.35">
      <c r="B64" t="s">
        <v>412</v>
      </c>
      <c r="C64" s="12">
        <f>+'PKG-5'!C89</f>
        <v>3983697962.3499999</v>
      </c>
    </row>
    <row r="67" spans="2:3" x14ac:dyDescent="0.35">
      <c r="B67" t="s">
        <v>109</v>
      </c>
      <c r="C67" s="6">
        <f>SUM(C62:C66)</f>
        <v>7455766296.6313934</v>
      </c>
    </row>
    <row r="68" spans="2:3" x14ac:dyDescent="0.35">
      <c r="B68" s="193" t="s">
        <v>413</v>
      </c>
      <c r="C68" s="6">
        <f>+C67*1%</f>
        <v>74557662.966313943</v>
      </c>
    </row>
    <row r="74" spans="2:3" x14ac:dyDescent="0.35">
      <c r="B74">
        <v>123</v>
      </c>
    </row>
  </sheetData>
  <mergeCells count="1">
    <mergeCell ref="B24:E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66"/>
  <sheetViews>
    <sheetView topLeftCell="A20" zoomScale="91" workbookViewId="0">
      <selection activeCell="M30" sqref="M30"/>
    </sheetView>
  </sheetViews>
  <sheetFormatPr defaultRowHeight="14.5" x14ac:dyDescent="0.35"/>
  <cols>
    <col min="2" max="2" width="13.1796875" customWidth="1"/>
    <col min="3" max="3" width="11.54296875" bestFit="1" customWidth="1"/>
    <col min="4" max="4" width="15.1796875" bestFit="1" customWidth="1"/>
    <col min="6" max="6" width="16.90625" bestFit="1" customWidth="1"/>
    <col min="7" max="7" width="11.54296875" bestFit="1" customWidth="1"/>
    <col min="8" max="8" width="36.453125" bestFit="1" customWidth="1"/>
    <col min="11" max="11" width="16.90625" bestFit="1" customWidth="1"/>
    <col min="12" max="12" width="12.08984375" bestFit="1" customWidth="1"/>
    <col min="13" max="13" width="11" bestFit="1" customWidth="1"/>
    <col min="16" max="16" width="9.90625" bestFit="1" customWidth="1"/>
  </cols>
  <sheetData>
    <row r="2" spans="2:16" ht="15" thickBot="1" x14ac:dyDescent="0.35">
      <c r="B2" s="209" t="s">
        <v>140</v>
      </c>
      <c r="C2" s="209"/>
      <c r="D2" s="209"/>
      <c r="F2" s="209" t="s">
        <v>141</v>
      </c>
      <c r="G2" s="209"/>
      <c r="H2" s="209"/>
    </row>
    <row r="3" spans="2:16" ht="15" thickBot="1" x14ac:dyDescent="0.35">
      <c r="B3" s="85" t="s">
        <v>138</v>
      </c>
      <c r="C3" s="86" t="s">
        <v>110</v>
      </c>
      <c r="D3" s="87" t="s">
        <v>139</v>
      </c>
      <c r="F3" s="85" t="s">
        <v>138</v>
      </c>
      <c r="G3" s="86" t="s">
        <v>110</v>
      </c>
      <c r="H3" s="87" t="s">
        <v>139</v>
      </c>
      <c r="K3" s="2"/>
      <c r="L3" s="3"/>
      <c r="M3" s="8"/>
      <c r="N3" s="8"/>
      <c r="O3" s="8"/>
      <c r="P3" s="8"/>
    </row>
    <row r="4" spans="2:16" ht="14.4" x14ac:dyDescent="0.3">
      <c r="B4" s="88"/>
      <c r="C4" s="89"/>
      <c r="D4" s="90"/>
      <c r="F4" s="88"/>
      <c r="G4" s="89"/>
      <c r="H4" s="90"/>
    </row>
    <row r="5" spans="2:16" ht="14.4" x14ac:dyDescent="0.3">
      <c r="B5" s="62" t="s">
        <v>19</v>
      </c>
      <c r="C5" s="83" t="s">
        <v>232</v>
      </c>
      <c r="D5" s="28">
        <v>16125297</v>
      </c>
      <c r="F5" s="62" t="s">
        <v>17</v>
      </c>
      <c r="G5" s="83" t="s">
        <v>226</v>
      </c>
      <c r="H5" s="28">
        <v>23396353</v>
      </c>
    </row>
    <row r="6" spans="2:16" ht="14.4" x14ac:dyDescent="0.3">
      <c r="B6" s="62" t="s">
        <v>55</v>
      </c>
      <c r="C6" s="83" t="s">
        <v>233</v>
      </c>
      <c r="D6" s="28">
        <v>33023193</v>
      </c>
      <c r="F6" s="62" t="s">
        <v>18</v>
      </c>
      <c r="G6" s="83" t="s">
        <v>227</v>
      </c>
      <c r="H6" s="28">
        <v>36573335</v>
      </c>
    </row>
    <row r="7" spans="2:16" ht="14.4" x14ac:dyDescent="0.3">
      <c r="B7" s="62" t="s">
        <v>57</v>
      </c>
      <c r="C7" s="83" t="s">
        <v>234</v>
      </c>
      <c r="D7" s="28">
        <v>21081799</v>
      </c>
      <c r="F7" s="62" t="s">
        <v>19</v>
      </c>
      <c r="G7" s="83" t="s">
        <v>228</v>
      </c>
      <c r="H7" s="28">
        <v>20186579</v>
      </c>
    </row>
    <row r="8" spans="2:16" ht="14.4" x14ac:dyDescent="0.3">
      <c r="B8" s="62" t="s">
        <v>88</v>
      </c>
      <c r="C8" s="83" t="s">
        <v>228</v>
      </c>
      <c r="D8" s="28">
        <v>10183363</v>
      </c>
      <c r="F8" s="62" t="s">
        <v>55</v>
      </c>
      <c r="G8" s="83" t="s">
        <v>229</v>
      </c>
      <c r="H8" s="28">
        <v>51011433</v>
      </c>
    </row>
    <row r="9" spans="2:16" ht="14.4" x14ac:dyDescent="0.3">
      <c r="B9" s="62" t="s">
        <v>93</v>
      </c>
      <c r="C9" s="83" t="s">
        <v>235</v>
      </c>
      <c r="D9" s="28">
        <v>19277084</v>
      </c>
      <c r="F9" s="62" t="s">
        <v>57</v>
      </c>
      <c r="G9" s="83" t="s">
        <v>230</v>
      </c>
      <c r="H9" s="28">
        <v>76442944</v>
      </c>
    </row>
    <row r="10" spans="2:16" ht="14.4" x14ac:dyDescent="0.3">
      <c r="B10" s="62"/>
      <c r="C10" s="83"/>
      <c r="D10" s="28"/>
      <c r="F10" s="62" t="s">
        <v>88</v>
      </c>
      <c r="G10" s="83" t="s">
        <v>132</v>
      </c>
      <c r="H10" s="28">
        <v>70043163</v>
      </c>
    </row>
    <row r="11" spans="2:16" ht="14.4" x14ac:dyDescent="0.3">
      <c r="B11" s="62"/>
      <c r="C11" s="83"/>
      <c r="D11" s="28"/>
      <c r="F11" s="62" t="s">
        <v>93</v>
      </c>
      <c r="G11" s="83" t="s">
        <v>186</v>
      </c>
      <c r="H11" s="28">
        <v>41227813</v>
      </c>
    </row>
    <row r="12" spans="2:16" ht="14.4" x14ac:dyDescent="0.3">
      <c r="B12" s="62"/>
      <c r="C12" s="83"/>
      <c r="D12" s="28"/>
      <c r="F12" s="62" t="s">
        <v>115</v>
      </c>
      <c r="G12" s="83" t="s">
        <v>213</v>
      </c>
      <c r="H12" s="28">
        <v>30650622</v>
      </c>
    </row>
    <row r="13" spans="2:16" ht="14.4" x14ac:dyDescent="0.3">
      <c r="B13" s="62"/>
      <c r="C13" s="83"/>
      <c r="D13" s="28"/>
      <c r="F13" s="62" t="s">
        <v>117</v>
      </c>
      <c r="G13" s="83" t="s">
        <v>211</v>
      </c>
      <c r="H13" s="28">
        <v>20576415</v>
      </c>
      <c r="K13" s="2" t="s">
        <v>117</v>
      </c>
      <c r="L13" s="3" t="s">
        <v>211</v>
      </c>
      <c r="M13" s="8">
        <v>20576415</v>
      </c>
      <c r="N13" s="8">
        <f>1970546.64*2</f>
        <v>3941093.28</v>
      </c>
      <c r="O13" s="8">
        <v>437899.2</v>
      </c>
      <c r="P13" s="8">
        <f t="shared" ref="P13:P19" si="0">+M13+O13-N13</f>
        <v>17073220.919999998</v>
      </c>
    </row>
    <row r="14" spans="2:16" ht="14.4" x14ac:dyDescent="0.3">
      <c r="B14" s="62"/>
      <c r="C14" s="83"/>
      <c r="D14" s="28"/>
      <c r="F14" s="62" t="s">
        <v>120</v>
      </c>
      <c r="G14" s="83" t="s">
        <v>209</v>
      </c>
      <c r="H14" s="28">
        <v>10069507</v>
      </c>
      <c r="K14" s="2" t="s">
        <v>120</v>
      </c>
      <c r="L14" s="3" t="s">
        <v>209</v>
      </c>
      <c r="M14" s="8">
        <v>10069507</v>
      </c>
      <c r="N14" s="8">
        <f>968482.1*2</f>
        <v>1936964.2</v>
      </c>
      <c r="O14" s="8">
        <v>215218.2</v>
      </c>
      <c r="P14" s="8">
        <f t="shared" si="0"/>
        <v>8347760.9999999991</v>
      </c>
    </row>
    <row r="15" spans="2:16" ht="14.4" x14ac:dyDescent="0.3">
      <c r="B15" s="64"/>
      <c r="C15" s="103"/>
      <c r="D15" s="104"/>
      <c r="F15" s="62" t="s">
        <v>174</v>
      </c>
      <c r="G15" s="83" t="s">
        <v>207</v>
      </c>
      <c r="H15" s="28">
        <v>9138280</v>
      </c>
      <c r="K15" s="2" t="s">
        <v>174</v>
      </c>
      <c r="L15" s="3" t="s">
        <v>207</v>
      </c>
      <c r="M15" s="8">
        <v>9138280</v>
      </c>
      <c r="N15" s="8">
        <f>814140.92*2</f>
        <v>1628281.84</v>
      </c>
      <c r="O15" s="8">
        <v>180920</v>
      </c>
      <c r="P15" s="8">
        <f t="shared" si="0"/>
        <v>7690918.1600000001</v>
      </c>
    </row>
    <row r="16" spans="2:16" ht="15" thickBot="1" x14ac:dyDescent="0.35">
      <c r="B16" s="74"/>
      <c r="C16" s="75"/>
      <c r="D16" s="32"/>
      <c r="F16" s="62" t="s">
        <v>198</v>
      </c>
      <c r="G16" s="83" t="s">
        <v>216</v>
      </c>
      <c r="H16" s="28">
        <v>40689637</v>
      </c>
      <c r="K16" s="2" t="s">
        <v>198</v>
      </c>
      <c r="L16" s="2" t="s">
        <v>216</v>
      </c>
      <c r="M16" s="8">
        <v>40689637</v>
      </c>
      <c r="N16" s="8">
        <v>7621571.96</v>
      </c>
      <c r="O16" s="8">
        <v>846841.33</v>
      </c>
      <c r="P16" s="8">
        <f t="shared" si="0"/>
        <v>33914906.369999997</v>
      </c>
    </row>
    <row r="17" spans="2:16" ht="15" thickBot="1" x14ac:dyDescent="0.35">
      <c r="B17" s="203" t="s">
        <v>75</v>
      </c>
      <c r="C17" s="204"/>
      <c r="D17" s="34">
        <f>SUM(D4:D16)</f>
        <v>99690736</v>
      </c>
      <c r="F17" s="62" t="s">
        <v>200</v>
      </c>
      <c r="G17" s="83" t="s">
        <v>217</v>
      </c>
      <c r="H17" s="28">
        <v>40415948</v>
      </c>
      <c r="K17" s="2" t="s">
        <v>200</v>
      </c>
      <c r="L17" s="2" t="s">
        <v>217</v>
      </c>
      <c r="M17" s="8">
        <v>40415948</v>
      </c>
      <c r="N17" s="8">
        <v>7188607.4199999999</v>
      </c>
      <c r="O17" s="8">
        <v>798734.15</v>
      </c>
      <c r="P17" s="8">
        <f t="shared" si="0"/>
        <v>34026074.729999997</v>
      </c>
    </row>
    <row r="18" spans="2:16" ht="15" thickBot="1" x14ac:dyDescent="0.35">
      <c r="B18" s="212">
        <v>4.0000000000000001E-3</v>
      </c>
      <c r="C18" s="211"/>
      <c r="D18" s="91">
        <f>+D17*B18</f>
        <v>398762.94400000002</v>
      </c>
      <c r="F18" s="62" t="s">
        <v>202</v>
      </c>
      <c r="G18" s="83" t="s">
        <v>219</v>
      </c>
      <c r="H18" s="28">
        <v>24442652</v>
      </c>
      <c r="J18" s="6"/>
      <c r="K18" s="2" t="s">
        <v>202</v>
      </c>
      <c r="L18" s="2" t="s">
        <v>219</v>
      </c>
      <c r="M18" s="8">
        <v>24442652</v>
      </c>
      <c r="N18" s="8">
        <v>4589238.62</v>
      </c>
      <c r="O18" s="8">
        <v>509915.4</v>
      </c>
      <c r="P18" s="8">
        <f t="shared" si="0"/>
        <v>20363328.779999997</v>
      </c>
    </row>
    <row r="19" spans="2:16" ht="15" thickBot="1" x14ac:dyDescent="0.35">
      <c r="F19" s="62" t="s">
        <v>204</v>
      </c>
      <c r="G19" s="83" t="s">
        <v>221</v>
      </c>
      <c r="H19" s="28">
        <v>13329293</v>
      </c>
      <c r="K19" s="2" t="s">
        <v>204</v>
      </c>
      <c r="L19" s="2" t="s">
        <v>221</v>
      </c>
      <c r="M19" s="8">
        <v>13329293</v>
      </c>
      <c r="N19" s="8">
        <v>2498843.94</v>
      </c>
      <c r="O19" s="8">
        <v>277649.33</v>
      </c>
      <c r="P19" s="8">
        <f t="shared" si="0"/>
        <v>11108098.390000001</v>
      </c>
    </row>
    <row r="20" spans="2:16" ht="14.4" x14ac:dyDescent="0.3">
      <c r="B20" s="92" t="s">
        <v>145</v>
      </c>
      <c r="C20" s="93"/>
      <c r="D20" s="94">
        <f>+D18</f>
        <v>398762.94400000002</v>
      </c>
      <c r="F20" s="62" t="s">
        <v>214</v>
      </c>
      <c r="G20" s="83" t="s">
        <v>231</v>
      </c>
      <c r="H20" s="28">
        <v>6009787</v>
      </c>
      <c r="K20" s="2"/>
      <c r="L20" s="2"/>
      <c r="M20" s="8"/>
      <c r="N20" s="8"/>
      <c r="O20" s="8"/>
      <c r="P20" s="8"/>
    </row>
    <row r="21" spans="2:16" ht="14.4" x14ac:dyDescent="0.3">
      <c r="B21" s="67" t="s">
        <v>146</v>
      </c>
      <c r="C21" s="66"/>
      <c r="D21" s="95">
        <f>+H24</f>
        <v>2056815.044</v>
      </c>
      <c r="F21" s="62"/>
      <c r="G21" s="83"/>
      <c r="H21" s="28"/>
      <c r="K21" s="2" t="s">
        <v>214</v>
      </c>
      <c r="L21" s="2" t="s">
        <v>215</v>
      </c>
      <c r="M21" s="8">
        <v>6009787</v>
      </c>
      <c r="N21" s="8">
        <v>1372793.82</v>
      </c>
      <c r="O21" s="8">
        <v>152532</v>
      </c>
      <c r="P21" s="8">
        <f>+M21+O21-N21</f>
        <v>4789525.18</v>
      </c>
    </row>
    <row r="22" spans="2:16" ht="15" thickBot="1" x14ac:dyDescent="0.35">
      <c r="B22" s="74"/>
      <c r="C22" s="75"/>
      <c r="D22" s="96"/>
      <c r="F22" s="62"/>
      <c r="G22" s="83"/>
      <c r="H22" s="28"/>
    </row>
    <row r="23" spans="2:16" ht="15" thickBot="1" x14ac:dyDescent="0.35">
      <c r="B23" s="71" t="s">
        <v>142</v>
      </c>
      <c r="C23" s="72"/>
      <c r="D23" s="84">
        <f>SUM(D20:D22)</f>
        <v>2455577.9879999999</v>
      </c>
      <c r="F23" s="210" t="s">
        <v>75</v>
      </c>
      <c r="G23" s="211"/>
      <c r="H23" s="91">
        <f>SUM(H5:H22)</f>
        <v>514203761</v>
      </c>
    </row>
    <row r="24" spans="2:16" ht="15" thickBot="1" x14ac:dyDescent="0.35">
      <c r="B24" s="81" t="s">
        <v>143</v>
      </c>
      <c r="C24" s="82"/>
      <c r="D24" s="80">
        <f>+G46</f>
        <v>7638640</v>
      </c>
      <c r="F24" s="212">
        <v>4.0000000000000001E-3</v>
      </c>
      <c r="G24" s="211"/>
      <c r="H24" s="91">
        <f>+H23*F24</f>
        <v>2056815.044</v>
      </c>
    </row>
    <row r="25" spans="2:16" ht="18.649999999999999" thickBot="1" x14ac:dyDescent="0.4">
      <c r="B25" s="105" t="s">
        <v>83</v>
      </c>
      <c r="C25" s="106"/>
      <c r="D25" s="115">
        <f>+D23-D24</f>
        <v>-5183062.0120000001</v>
      </c>
    </row>
    <row r="27" spans="2:16" ht="15" thickBot="1" x14ac:dyDescent="0.35"/>
    <row r="28" spans="2:16" ht="15" thickBot="1" x14ac:dyDescent="0.35">
      <c r="B28" s="206" t="s">
        <v>124</v>
      </c>
      <c r="C28" s="207"/>
      <c r="D28" s="208"/>
      <c r="F28" s="203" t="s">
        <v>137</v>
      </c>
      <c r="G28" s="204"/>
      <c r="H28" s="205"/>
    </row>
    <row r="29" spans="2:16" ht="15" thickBot="1" x14ac:dyDescent="0.35">
      <c r="B29" s="71" t="s">
        <v>110</v>
      </c>
      <c r="C29" s="72" t="s">
        <v>125</v>
      </c>
      <c r="D29" s="73" t="s">
        <v>126</v>
      </c>
      <c r="F29" s="71" t="s">
        <v>110</v>
      </c>
      <c r="G29" s="72" t="s">
        <v>125</v>
      </c>
      <c r="H29" s="73" t="s">
        <v>126</v>
      </c>
      <c r="K29" t="s">
        <v>236</v>
      </c>
      <c r="L29">
        <v>581989515</v>
      </c>
      <c r="M29" s="6">
        <f>+L29*0.4/100</f>
        <v>2327958.06</v>
      </c>
    </row>
    <row r="30" spans="2:16" ht="14.4" x14ac:dyDescent="0.3">
      <c r="B30" s="69" t="s">
        <v>127</v>
      </c>
      <c r="C30" s="100">
        <v>1500000</v>
      </c>
      <c r="D30" s="70"/>
      <c r="F30" s="69" t="s">
        <v>128</v>
      </c>
      <c r="G30" s="100">
        <v>1500000</v>
      </c>
      <c r="H30" s="68" t="s">
        <v>192</v>
      </c>
      <c r="K30" t="s">
        <v>237</v>
      </c>
      <c r="L30">
        <v>191905482</v>
      </c>
      <c r="M30" s="6">
        <f>+L30*0.4/100</f>
        <v>767621.92799999996</v>
      </c>
      <c r="O30">
        <f>+M30+M31</f>
        <v>3955118.1879999996</v>
      </c>
    </row>
    <row r="31" spans="2:16" ht="14.4" x14ac:dyDescent="0.3">
      <c r="B31" s="67" t="s">
        <v>128</v>
      </c>
      <c r="C31" s="66">
        <v>892500</v>
      </c>
      <c r="D31" s="68"/>
      <c r="F31" s="67" t="s">
        <v>128</v>
      </c>
      <c r="G31" s="66">
        <v>1500000</v>
      </c>
      <c r="H31" s="68" t="s">
        <v>189</v>
      </c>
      <c r="K31" t="s">
        <v>238</v>
      </c>
      <c r="L31">
        <v>796874065</v>
      </c>
      <c r="M31" s="6">
        <f>+L31*0.4/100</f>
        <v>3187496.26</v>
      </c>
    </row>
    <row r="32" spans="2:16" ht="14.4" x14ac:dyDescent="0.3">
      <c r="B32" s="67" t="s">
        <v>129</v>
      </c>
      <c r="C32" s="66">
        <v>280000</v>
      </c>
      <c r="D32" s="68"/>
      <c r="F32" s="67" t="s">
        <v>193</v>
      </c>
      <c r="G32" s="66">
        <v>892000</v>
      </c>
      <c r="H32" s="68" t="s">
        <v>192</v>
      </c>
      <c r="K32" t="s">
        <v>239</v>
      </c>
      <c r="L32">
        <v>364217581</v>
      </c>
      <c r="M32" s="6">
        <f t="shared" ref="M32:M34" si="1">+L32*0.4/100</f>
        <v>1456870.324</v>
      </c>
    </row>
    <row r="33" spans="2:13" ht="14.4" x14ac:dyDescent="0.3">
      <c r="B33" s="67" t="s">
        <v>130</v>
      </c>
      <c r="C33" s="66">
        <v>1000000</v>
      </c>
      <c r="D33" s="68"/>
      <c r="F33" s="67" t="s">
        <v>134</v>
      </c>
      <c r="G33" s="66">
        <v>580000</v>
      </c>
      <c r="H33" s="68" t="s">
        <v>192</v>
      </c>
      <c r="I33" s="4"/>
      <c r="K33" t="s">
        <v>239</v>
      </c>
      <c r="L33">
        <v>910745975</v>
      </c>
      <c r="M33" s="6">
        <f t="shared" si="1"/>
        <v>3642983.9</v>
      </c>
    </row>
    <row r="34" spans="2:13" ht="14.4" x14ac:dyDescent="0.3">
      <c r="B34" s="67" t="s">
        <v>131</v>
      </c>
      <c r="C34" s="66">
        <v>1000000</v>
      </c>
      <c r="D34" s="68"/>
      <c r="F34" s="67" t="s">
        <v>134</v>
      </c>
      <c r="G34" s="66">
        <v>2000000</v>
      </c>
      <c r="H34" s="68" t="s">
        <v>195</v>
      </c>
      <c r="K34" t="s">
        <v>240</v>
      </c>
      <c r="L34">
        <v>2908739990</v>
      </c>
      <c r="M34" s="6">
        <f t="shared" si="1"/>
        <v>11634959.960000001</v>
      </c>
    </row>
    <row r="35" spans="2:13" ht="14.4" x14ac:dyDescent="0.3">
      <c r="B35" s="67" t="s">
        <v>111</v>
      </c>
      <c r="C35" s="66">
        <v>300000</v>
      </c>
      <c r="D35" s="68"/>
      <c r="F35" s="67" t="s">
        <v>134</v>
      </c>
      <c r="G35" s="66">
        <v>500000</v>
      </c>
      <c r="H35" s="68" t="s">
        <v>189</v>
      </c>
    </row>
    <row r="36" spans="2:13" ht="14.4" x14ac:dyDescent="0.3">
      <c r="B36" s="67" t="s">
        <v>132</v>
      </c>
      <c r="C36" s="66">
        <v>3100000</v>
      </c>
      <c r="D36" s="68"/>
      <c r="F36" s="67" t="s">
        <v>135</v>
      </c>
      <c r="G36" s="66">
        <v>3000000</v>
      </c>
      <c r="H36" s="68" t="s">
        <v>194</v>
      </c>
      <c r="K36" s="4" t="s">
        <v>75</v>
      </c>
      <c r="L36" s="4">
        <f>SUM(L29:L35)</f>
        <v>5754472608</v>
      </c>
      <c r="M36" s="4">
        <f>SUM(M29:M35)</f>
        <v>23017890.432</v>
      </c>
    </row>
    <row r="37" spans="2:13" ht="14.4" x14ac:dyDescent="0.3">
      <c r="B37" s="67" t="s">
        <v>133</v>
      </c>
      <c r="C37" s="66">
        <v>831910</v>
      </c>
      <c r="D37" s="68"/>
      <c r="F37" s="67" t="s">
        <v>136</v>
      </c>
      <c r="G37" s="66">
        <v>2000000</v>
      </c>
      <c r="H37" s="68" t="s">
        <v>189</v>
      </c>
    </row>
    <row r="38" spans="2:13" ht="14.4" x14ac:dyDescent="0.3">
      <c r="B38" s="67" t="s">
        <v>144</v>
      </c>
      <c r="C38" s="66">
        <v>128950</v>
      </c>
      <c r="D38" s="68"/>
      <c r="F38" s="74" t="s">
        <v>216</v>
      </c>
      <c r="G38" s="75">
        <v>200000</v>
      </c>
      <c r="H38" s="68" t="s">
        <v>225</v>
      </c>
    </row>
    <row r="39" spans="2:13" x14ac:dyDescent="0.35">
      <c r="B39" s="67" t="s">
        <v>144</v>
      </c>
      <c r="C39" s="66">
        <v>500000</v>
      </c>
      <c r="D39" s="68"/>
      <c r="F39" s="74" t="s">
        <v>223</v>
      </c>
      <c r="G39" s="75">
        <v>5000000</v>
      </c>
      <c r="H39" s="76" t="s">
        <v>224</v>
      </c>
      <c r="K39" t="s">
        <v>236</v>
      </c>
      <c r="L39">
        <v>581989515</v>
      </c>
      <c r="M39">
        <f>+L39*0.25/100</f>
        <v>1454973.7875000001</v>
      </c>
    </row>
    <row r="40" spans="2:13" x14ac:dyDescent="0.35">
      <c r="B40" s="74"/>
      <c r="C40" s="75"/>
      <c r="D40" s="76"/>
      <c r="F40" s="74"/>
      <c r="G40" s="75"/>
      <c r="H40" s="76"/>
      <c r="K40" t="s">
        <v>237</v>
      </c>
      <c r="L40">
        <v>191905482</v>
      </c>
      <c r="M40">
        <f t="shared" ref="M40:M44" si="2">+L40*0.25/100</f>
        <v>479763.70500000002</v>
      </c>
    </row>
    <row r="41" spans="2:13" x14ac:dyDescent="0.35">
      <c r="B41" s="74"/>
      <c r="C41" s="75"/>
      <c r="D41" s="76"/>
      <c r="F41" s="74"/>
      <c r="G41" s="75"/>
      <c r="H41" s="76"/>
      <c r="K41" t="s">
        <v>238</v>
      </c>
      <c r="L41">
        <v>796874065</v>
      </c>
      <c r="M41">
        <f t="shared" si="2"/>
        <v>1992185.1625000001</v>
      </c>
    </row>
    <row r="42" spans="2:13" x14ac:dyDescent="0.35">
      <c r="B42" s="74"/>
      <c r="C42" s="75"/>
      <c r="D42" s="76"/>
      <c r="F42" s="74"/>
      <c r="G42" s="75"/>
      <c r="H42" s="76"/>
      <c r="K42" t="s">
        <v>239</v>
      </c>
      <c r="L42">
        <v>364217581</v>
      </c>
      <c r="M42">
        <f t="shared" si="2"/>
        <v>910543.95250000001</v>
      </c>
    </row>
    <row r="43" spans="2:13" ht="15" thickBot="1" x14ac:dyDescent="0.4">
      <c r="B43" s="74"/>
      <c r="C43" s="75"/>
      <c r="D43" s="76"/>
      <c r="F43" s="74"/>
      <c r="G43" s="75"/>
      <c r="H43" s="76"/>
      <c r="K43" t="s">
        <v>239</v>
      </c>
      <c r="L43">
        <v>910745975</v>
      </c>
      <c r="M43">
        <f t="shared" si="2"/>
        <v>2276864.9375</v>
      </c>
    </row>
    <row r="44" spans="2:13" s="114" customFormat="1" ht="19" thickBot="1" x14ac:dyDescent="0.4">
      <c r="B44" s="107" t="s">
        <v>109</v>
      </c>
      <c r="C44" s="108">
        <f>SUM(C30:C43)</f>
        <v>9533360</v>
      </c>
      <c r="D44" s="109"/>
      <c r="E44" s="110"/>
      <c r="F44" s="71" t="s">
        <v>109</v>
      </c>
      <c r="G44" s="72">
        <f>SUM(G30:G43)</f>
        <v>17172000</v>
      </c>
      <c r="H44" s="77"/>
      <c r="K44" t="s">
        <v>240</v>
      </c>
      <c r="L44">
        <v>2908739990</v>
      </c>
      <c r="M44">
        <f t="shared" si="2"/>
        <v>7271849.9749999996</v>
      </c>
    </row>
    <row r="45" spans="2:13" ht="15" thickBot="1" x14ac:dyDescent="0.4">
      <c r="F45" s="81"/>
      <c r="G45" s="82"/>
      <c r="H45" s="80"/>
    </row>
    <row r="46" spans="2:13" ht="19" thickBot="1" x14ac:dyDescent="0.4">
      <c r="F46" s="111" t="s">
        <v>159</v>
      </c>
      <c r="G46" s="112">
        <f>+G44-C44</f>
        <v>7638640</v>
      </c>
      <c r="H46" s="113"/>
      <c r="K46" s="4" t="s">
        <v>75</v>
      </c>
      <c r="L46" s="4">
        <f>SUM(L39:L45)</f>
        <v>5754472608</v>
      </c>
      <c r="M46" s="4">
        <f>SUM(M39:M45)</f>
        <v>14386181.52</v>
      </c>
    </row>
    <row r="52" spans="2:8" ht="15" thickBot="1" x14ac:dyDescent="0.4"/>
    <row r="53" spans="2:8" ht="15" thickBot="1" x14ac:dyDescent="0.4">
      <c r="B53" s="206" t="s">
        <v>124</v>
      </c>
      <c r="C53" s="207"/>
      <c r="D53" s="208"/>
      <c r="F53" s="203" t="s">
        <v>137</v>
      </c>
      <c r="G53" s="204"/>
      <c r="H53" s="205"/>
    </row>
    <row r="54" spans="2:8" ht="15" thickBot="1" x14ac:dyDescent="0.4">
      <c r="B54" s="71" t="s">
        <v>110</v>
      </c>
      <c r="C54" s="72" t="s">
        <v>125</v>
      </c>
      <c r="D54" s="73" t="s">
        <v>126</v>
      </c>
      <c r="F54" s="71" t="s">
        <v>110</v>
      </c>
      <c r="G54" s="72" t="s">
        <v>125</v>
      </c>
      <c r="H54" s="73" t="s">
        <v>126</v>
      </c>
    </row>
    <row r="55" spans="2:8" x14ac:dyDescent="0.35">
      <c r="B55" s="69" t="s">
        <v>127</v>
      </c>
      <c r="C55" s="100">
        <v>1500000</v>
      </c>
      <c r="D55" s="70"/>
      <c r="F55" s="69" t="s">
        <v>128</v>
      </c>
      <c r="G55" s="100">
        <v>1500000</v>
      </c>
      <c r="H55" s="68" t="s">
        <v>196</v>
      </c>
    </row>
    <row r="56" spans="2:8" x14ac:dyDescent="0.35">
      <c r="B56" s="67" t="s">
        <v>128</v>
      </c>
      <c r="C56" s="66">
        <v>892500</v>
      </c>
      <c r="D56" s="68"/>
      <c r="F56" s="67" t="s">
        <v>128</v>
      </c>
      <c r="G56" s="66">
        <v>1500000</v>
      </c>
      <c r="H56" s="68" t="s">
        <v>196</v>
      </c>
    </row>
    <row r="57" spans="2:8" x14ac:dyDescent="0.35">
      <c r="B57" s="67" t="s">
        <v>129</v>
      </c>
      <c r="C57" s="66">
        <v>280000</v>
      </c>
      <c r="D57" s="68"/>
      <c r="F57" s="67" t="s">
        <v>193</v>
      </c>
      <c r="G57" s="66">
        <v>892000</v>
      </c>
      <c r="H57" s="68" t="s">
        <v>196</v>
      </c>
    </row>
    <row r="58" spans="2:8" x14ac:dyDescent="0.35">
      <c r="B58" s="67" t="s">
        <v>130</v>
      </c>
      <c r="C58" s="66">
        <v>1000000</v>
      </c>
      <c r="D58" s="68"/>
      <c r="F58" s="67" t="s">
        <v>134</v>
      </c>
      <c r="G58" s="66">
        <v>580000</v>
      </c>
      <c r="H58" s="68" t="s">
        <v>196</v>
      </c>
    </row>
    <row r="59" spans="2:8" x14ac:dyDescent="0.35">
      <c r="B59" s="67" t="s">
        <v>131</v>
      </c>
      <c r="C59" s="66">
        <v>1000000</v>
      </c>
      <c r="D59" s="68"/>
      <c r="F59" s="67" t="s">
        <v>134</v>
      </c>
      <c r="G59" s="66">
        <v>2000000</v>
      </c>
      <c r="H59" s="68" t="s">
        <v>197</v>
      </c>
    </row>
    <row r="60" spans="2:8" x14ac:dyDescent="0.35">
      <c r="B60" s="67" t="s">
        <v>111</v>
      </c>
      <c r="C60" s="66">
        <v>300000</v>
      </c>
      <c r="D60" s="68"/>
      <c r="F60" s="67" t="s">
        <v>134</v>
      </c>
      <c r="G60" s="66">
        <v>500000</v>
      </c>
      <c r="H60" s="68" t="s">
        <v>196</v>
      </c>
    </row>
    <row r="61" spans="2:8" x14ac:dyDescent="0.35">
      <c r="B61" s="67" t="s">
        <v>132</v>
      </c>
      <c r="C61" s="66">
        <v>3100000</v>
      </c>
      <c r="D61" s="68"/>
      <c r="F61" s="67" t="s">
        <v>135</v>
      </c>
      <c r="G61" s="66">
        <v>3000000</v>
      </c>
      <c r="H61" s="68" t="s">
        <v>197</v>
      </c>
    </row>
    <row r="62" spans="2:8" x14ac:dyDescent="0.35">
      <c r="B62" s="67" t="s">
        <v>133</v>
      </c>
      <c r="C62" s="66">
        <v>831910</v>
      </c>
      <c r="D62" s="68"/>
      <c r="F62" s="67" t="s">
        <v>136</v>
      </c>
      <c r="G62" s="66">
        <v>2000000</v>
      </c>
      <c r="H62" s="68" t="s">
        <v>196</v>
      </c>
    </row>
    <row r="63" spans="2:8" x14ac:dyDescent="0.35">
      <c r="B63" s="67" t="s">
        <v>144</v>
      </c>
      <c r="C63" s="66">
        <v>128950</v>
      </c>
      <c r="D63" s="68"/>
      <c r="F63" s="74" t="s">
        <v>216</v>
      </c>
      <c r="G63" s="75">
        <v>200000</v>
      </c>
      <c r="H63" s="68" t="s">
        <v>225</v>
      </c>
    </row>
    <row r="64" spans="2:8" x14ac:dyDescent="0.35">
      <c r="B64" s="67" t="s">
        <v>144</v>
      </c>
      <c r="C64" s="66">
        <v>500000</v>
      </c>
      <c r="D64" s="68"/>
      <c r="F64" s="74" t="s">
        <v>223</v>
      </c>
      <c r="G64" s="75">
        <v>5000000</v>
      </c>
      <c r="H64" s="68" t="s">
        <v>197</v>
      </c>
    </row>
    <row r="65" spans="2:8" ht="15" thickBot="1" x14ac:dyDescent="0.4">
      <c r="B65" s="74"/>
      <c r="C65" s="75"/>
      <c r="D65" s="76"/>
      <c r="F65" s="74"/>
      <c r="G65" s="75"/>
      <c r="H65" s="76"/>
    </row>
    <row r="66" spans="2:8" ht="19" thickBot="1" x14ac:dyDescent="0.4">
      <c r="B66" s="107" t="s">
        <v>109</v>
      </c>
      <c r="C66" s="108">
        <f>SUM(C55:C65)</f>
        <v>9533360</v>
      </c>
      <c r="D66" s="109"/>
      <c r="F66" s="71" t="s">
        <v>109</v>
      </c>
      <c r="G66" s="72">
        <f>SUM(G55:G65)</f>
        <v>17172000</v>
      </c>
      <c r="H66" s="77"/>
    </row>
  </sheetData>
  <mergeCells count="10">
    <mergeCell ref="F53:H53"/>
    <mergeCell ref="B53:D53"/>
    <mergeCell ref="F2:H2"/>
    <mergeCell ref="F23:G23"/>
    <mergeCell ref="F24:G24"/>
    <mergeCell ref="F28:H28"/>
    <mergeCell ref="B28:D28"/>
    <mergeCell ref="B17:C17"/>
    <mergeCell ref="B18:C18"/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H30"/>
  <sheetViews>
    <sheetView workbookViewId="0">
      <selection activeCell="H18" sqref="H18"/>
    </sheetView>
  </sheetViews>
  <sheetFormatPr defaultColWidth="20.54296875" defaultRowHeight="14.5" x14ac:dyDescent="0.35"/>
  <cols>
    <col min="1" max="1" width="9.81640625" customWidth="1"/>
    <col min="3" max="3" width="10.36328125" bestFit="1" customWidth="1"/>
    <col min="5" max="5" width="8" customWidth="1"/>
    <col min="7" max="7" width="11.08984375" bestFit="1" customWidth="1"/>
    <col min="8" max="8" width="34.81640625" customWidth="1"/>
    <col min="9" max="9" width="5.81640625" customWidth="1"/>
  </cols>
  <sheetData>
    <row r="4" spans="2:8" ht="15" thickBot="1" x14ac:dyDescent="0.35"/>
    <row r="5" spans="2:8" ht="15" thickBot="1" x14ac:dyDescent="0.35">
      <c r="B5" s="206" t="s">
        <v>124</v>
      </c>
      <c r="C5" s="207"/>
      <c r="D5" s="208"/>
      <c r="F5" s="203" t="s">
        <v>137</v>
      </c>
      <c r="G5" s="204"/>
      <c r="H5" s="205"/>
    </row>
    <row r="6" spans="2:8" ht="15" thickBot="1" x14ac:dyDescent="0.35">
      <c r="B6" s="71" t="s">
        <v>110</v>
      </c>
      <c r="C6" s="72" t="s">
        <v>125</v>
      </c>
      <c r="D6" s="73" t="s">
        <v>126</v>
      </c>
      <c r="F6" s="71" t="s">
        <v>110</v>
      </c>
      <c r="G6" s="72" t="s">
        <v>125</v>
      </c>
      <c r="H6" s="73" t="s">
        <v>126</v>
      </c>
    </row>
    <row r="7" spans="2:8" ht="14.4" x14ac:dyDescent="0.3">
      <c r="B7" s="69"/>
      <c r="C7" s="100"/>
      <c r="D7" s="70"/>
      <c r="F7" s="69"/>
      <c r="G7" s="100"/>
      <c r="H7" s="70"/>
    </row>
    <row r="8" spans="2:8" ht="14.4" x14ac:dyDescent="0.3">
      <c r="B8" s="67" t="s">
        <v>176</v>
      </c>
      <c r="C8" s="66">
        <v>1000000</v>
      </c>
      <c r="D8" s="68" t="s">
        <v>165</v>
      </c>
      <c r="F8" s="67" t="s">
        <v>178</v>
      </c>
      <c r="G8" s="66">
        <v>2200000</v>
      </c>
      <c r="H8" s="116" t="s">
        <v>179</v>
      </c>
    </row>
    <row r="9" spans="2:8" ht="28.75" x14ac:dyDescent="0.3">
      <c r="B9" s="67" t="s">
        <v>130</v>
      </c>
      <c r="C9" s="66">
        <v>1000000</v>
      </c>
      <c r="D9" s="68" t="s">
        <v>165</v>
      </c>
      <c r="F9" s="67" t="s">
        <v>111</v>
      </c>
      <c r="G9" s="66">
        <v>2780000</v>
      </c>
      <c r="H9" s="116" t="s">
        <v>180</v>
      </c>
    </row>
    <row r="10" spans="2:8" ht="14.4" x14ac:dyDescent="0.3">
      <c r="B10" s="67" t="s">
        <v>181</v>
      </c>
      <c r="C10" s="66">
        <v>1000000</v>
      </c>
      <c r="D10" s="68" t="s">
        <v>165</v>
      </c>
      <c r="F10" s="67" t="s">
        <v>182</v>
      </c>
      <c r="G10" s="66">
        <v>1000000</v>
      </c>
      <c r="H10" s="116" t="s">
        <v>183</v>
      </c>
    </row>
    <row r="11" spans="2:8" ht="14.4" x14ac:dyDescent="0.3">
      <c r="B11" s="67" t="s">
        <v>186</v>
      </c>
      <c r="C11" s="66">
        <v>2500000</v>
      </c>
      <c r="D11" s="68" t="s">
        <v>165</v>
      </c>
      <c r="F11" s="67" t="s">
        <v>182</v>
      </c>
      <c r="G11" s="66">
        <v>920000</v>
      </c>
      <c r="H11" s="116" t="s">
        <v>184</v>
      </c>
    </row>
    <row r="12" spans="2:8" ht="14.4" x14ac:dyDescent="0.3">
      <c r="B12" s="67" t="s">
        <v>158</v>
      </c>
      <c r="C12" s="66">
        <v>1700000</v>
      </c>
      <c r="D12" s="68" t="s">
        <v>165</v>
      </c>
      <c r="F12" s="67" t="s">
        <v>182</v>
      </c>
      <c r="G12" s="66">
        <v>572000</v>
      </c>
      <c r="H12" s="116" t="s">
        <v>185</v>
      </c>
    </row>
    <row r="13" spans="2:8" ht="14.4" x14ac:dyDescent="0.3">
      <c r="B13" s="67"/>
      <c r="C13" s="66"/>
      <c r="D13" s="68"/>
      <c r="F13" s="67" t="s">
        <v>182</v>
      </c>
      <c r="G13" s="66">
        <v>508000</v>
      </c>
      <c r="H13" s="116" t="s">
        <v>161</v>
      </c>
    </row>
    <row r="14" spans="2:8" ht="14.4" x14ac:dyDescent="0.3">
      <c r="B14" s="67"/>
      <c r="C14" s="66"/>
      <c r="D14" s="68"/>
      <c r="F14" s="67" t="s">
        <v>187</v>
      </c>
      <c r="G14" s="66">
        <v>700000</v>
      </c>
      <c r="H14" s="116" t="s">
        <v>188</v>
      </c>
    </row>
    <row r="15" spans="2:8" ht="14.4" x14ac:dyDescent="0.3">
      <c r="B15" s="67"/>
      <c r="C15" s="66"/>
      <c r="D15" s="68"/>
      <c r="F15" s="67" t="s">
        <v>153</v>
      </c>
      <c r="G15" s="66">
        <v>500000</v>
      </c>
      <c r="H15" s="116" t="s">
        <v>190</v>
      </c>
    </row>
    <row r="16" spans="2:8" ht="14.4" x14ac:dyDescent="0.3">
      <c r="B16" s="67"/>
      <c r="C16" s="66"/>
      <c r="D16" s="68"/>
      <c r="F16" s="67" t="s">
        <v>191</v>
      </c>
      <c r="G16" s="66">
        <v>500000</v>
      </c>
      <c r="H16" s="116" t="s">
        <v>190</v>
      </c>
    </row>
    <row r="17" spans="2:8" x14ac:dyDescent="0.35">
      <c r="B17" s="67"/>
      <c r="C17" s="66"/>
      <c r="D17" s="68"/>
      <c r="F17" s="67"/>
      <c r="G17" s="66"/>
      <c r="H17" s="116"/>
    </row>
    <row r="18" spans="2:8" x14ac:dyDescent="0.35">
      <c r="B18" s="67"/>
      <c r="C18" s="66"/>
      <c r="D18" s="68"/>
      <c r="F18" s="67"/>
      <c r="G18" s="66"/>
      <c r="H18" s="68"/>
    </row>
    <row r="19" spans="2:8" x14ac:dyDescent="0.35">
      <c r="B19" s="67"/>
      <c r="C19" s="66"/>
      <c r="D19" s="68"/>
      <c r="F19" s="67"/>
      <c r="G19" s="66"/>
      <c r="H19" s="68"/>
    </row>
    <row r="20" spans="2:8" x14ac:dyDescent="0.35">
      <c r="B20" s="67"/>
      <c r="C20" s="66"/>
      <c r="D20" s="68"/>
      <c r="F20" s="67"/>
      <c r="G20" s="66"/>
      <c r="H20" s="68"/>
    </row>
    <row r="21" spans="2:8" ht="15" thickBot="1" x14ac:dyDescent="0.4">
      <c r="B21" s="67"/>
      <c r="C21" s="66"/>
      <c r="D21" s="68"/>
      <c r="F21" s="74"/>
      <c r="G21" s="75"/>
      <c r="H21" s="76"/>
    </row>
    <row r="22" spans="2:8" ht="15" thickBot="1" x14ac:dyDescent="0.4">
      <c r="B22" s="67"/>
      <c r="C22" s="66"/>
      <c r="D22" s="68"/>
      <c r="F22" s="71" t="s">
        <v>109</v>
      </c>
      <c r="G22" s="72">
        <f>SUM(G7:G21)</f>
        <v>9680000</v>
      </c>
      <c r="H22" s="77"/>
    </row>
    <row r="23" spans="2:8" ht="15" thickBot="1" x14ac:dyDescent="0.4">
      <c r="B23" s="74"/>
      <c r="C23" s="75"/>
      <c r="D23" s="76"/>
      <c r="F23" s="81"/>
      <c r="G23" s="82"/>
      <c r="H23" s="80"/>
    </row>
    <row r="24" spans="2:8" ht="19" thickBot="1" x14ac:dyDescent="0.4">
      <c r="B24" s="107" t="s">
        <v>109</v>
      </c>
      <c r="C24" s="108">
        <f>SUM(C7:C23)</f>
        <v>7200000</v>
      </c>
      <c r="D24" s="109"/>
      <c r="E24" s="110"/>
      <c r="F24" s="111" t="s">
        <v>159</v>
      </c>
      <c r="G24" s="112">
        <f>+G22-C24</f>
        <v>2480000</v>
      </c>
      <c r="H24" s="113"/>
    </row>
    <row r="26" spans="2:8" x14ac:dyDescent="0.35">
      <c r="G26">
        <v>5352339</v>
      </c>
    </row>
    <row r="27" spans="2:8" x14ac:dyDescent="0.35">
      <c r="G27">
        <f>+G26-G24</f>
        <v>2872339</v>
      </c>
    </row>
    <row r="30" spans="2:8" x14ac:dyDescent="0.35">
      <c r="F30" t="s">
        <v>176</v>
      </c>
      <c r="G30">
        <v>1600000</v>
      </c>
      <c r="H30" t="s">
        <v>177</v>
      </c>
    </row>
  </sheetData>
  <mergeCells count="2">
    <mergeCell ref="B5:D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D31"/>
  <sheetViews>
    <sheetView topLeftCell="A19" workbookViewId="0">
      <selection activeCell="D35" sqref="D35"/>
    </sheetView>
  </sheetViews>
  <sheetFormatPr defaultRowHeight="14.5" x14ac:dyDescent="0.35"/>
  <cols>
    <col min="2" max="2" width="13.1796875" customWidth="1"/>
    <col min="3" max="3" width="14.54296875" customWidth="1"/>
    <col min="4" max="4" width="37" bestFit="1" customWidth="1"/>
  </cols>
  <sheetData>
    <row r="4" spans="2:4" ht="14.4" x14ac:dyDescent="0.3">
      <c r="B4" s="213" t="s">
        <v>167</v>
      </c>
      <c r="C4" s="213"/>
      <c r="D4" s="213"/>
    </row>
    <row r="5" spans="2:4" ht="15" thickBot="1" x14ac:dyDescent="0.35">
      <c r="B5" s="213" t="s">
        <v>124</v>
      </c>
      <c r="C5" s="213"/>
      <c r="D5" s="213"/>
    </row>
    <row r="6" spans="2:4" ht="15" thickBot="1" x14ac:dyDescent="0.35">
      <c r="B6" s="71" t="s">
        <v>110</v>
      </c>
      <c r="C6" s="72" t="s">
        <v>125</v>
      </c>
      <c r="D6" s="73" t="s">
        <v>126</v>
      </c>
    </row>
    <row r="7" spans="2:4" ht="14.4" x14ac:dyDescent="0.3">
      <c r="B7" s="101" t="s">
        <v>160</v>
      </c>
      <c r="C7" s="66">
        <v>200000</v>
      </c>
      <c r="D7" s="68" t="s">
        <v>154</v>
      </c>
    </row>
    <row r="8" spans="2:4" ht="14.4" x14ac:dyDescent="0.3">
      <c r="B8" s="67" t="s">
        <v>163</v>
      </c>
      <c r="C8" s="66">
        <v>400000</v>
      </c>
      <c r="D8" s="68" t="s">
        <v>165</v>
      </c>
    </row>
    <row r="9" spans="2:4" ht="15" thickBot="1" x14ac:dyDescent="0.35">
      <c r="B9" s="74"/>
      <c r="C9" s="75"/>
      <c r="D9" s="76"/>
    </row>
    <row r="10" spans="2:4" ht="16.25" thickBot="1" x14ac:dyDescent="0.35">
      <c r="B10" s="97" t="s">
        <v>109</v>
      </c>
      <c r="C10" s="98">
        <f>SUM(C7:C9)</f>
        <v>600000</v>
      </c>
      <c r="D10" s="99"/>
    </row>
    <row r="11" spans="2:4" ht="15" thickBot="1" x14ac:dyDescent="0.35">
      <c r="B11" s="78"/>
      <c r="C11" s="79"/>
      <c r="D11" s="80"/>
    </row>
    <row r="12" spans="2:4" ht="15" thickBot="1" x14ac:dyDescent="0.35">
      <c r="B12" s="203" t="s">
        <v>137</v>
      </c>
      <c r="C12" s="204"/>
      <c r="D12" s="205"/>
    </row>
    <row r="13" spans="2:4" ht="14.4" x14ac:dyDescent="0.3">
      <c r="B13" s="69"/>
      <c r="C13" s="100"/>
      <c r="D13" s="70"/>
    </row>
    <row r="14" spans="2:4" ht="14.4" x14ac:dyDescent="0.3">
      <c r="B14" s="69" t="s">
        <v>160</v>
      </c>
      <c r="C14" s="100">
        <v>200000</v>
      </c>
      <c r="D14" s="70" t="s">
        <v>155</v>
      </c>
    </row>
    <row r="15" spans="2:4" ht="14.4" x14ac:dyDescent="0.3">
      <c r="B15" s="69" t="s">
        <v>160</v>
      </c>
      <c r="C15" s="100">
        <v>285000</v>
      </c>
      <c r="D15" s="70" t="s">
        <v>162</v>
      </c>
    </row>
    <row r="16" spans="2:4" ht="14.4" x14ac:dyDescent="0.3">
      <c r="B16" s="69" t="s">
        <v>160</v>
      </c>
      <c r="C16" s="100">
        <v>15000</v>
      </c>
      <c r="D16" s="70" t="s">
        <v>161</v>
      </c>
    </row>
    <row r="17" spans="2:4" ht="14.4" x14ac:dyDescent="0.3">
      <c r="B17" s="69" t="s">
        <v>164</v>
      </c>
      <c r="C17" s="100">
        <v>400000</v>
      </c>
      <c r="D17" s="70" t="s">
        <v>156</v>
      </c>
    </row>
    <row r="18" spans="2:4" x14ac:dyDescent="0.35">
      <c r="B18" s="69" t="s">
        <v>164</v>
      </c>
      <c r="C18" s="100">
        <v>1283000</v>
      </c>
      <c r="D18" s="70" t="s">
        <v>166</v>
      </c>
    </row>
    <row r="19" spans="2:4" x14ac:dyDescent="0.35">
      <c r="B19" s="67" t="s">
        <v>147</v>
      </c>
      <c r="C19" s="66">
        <v>1260000</v>
      </c>
      <c r="D19" s="68" t="s">
        <v>148</v>
      </c>
    </row>
    <row r="20" spans="2:4" x14ac:dyDescent="0.35">
      <c r="B20" s="67" t="s">
        <v>149</v>
      </c>
      <c r="C20" s="66">
        <v>1000000</v>
      </c>
      <c r="D20" s="68" t="s">
        <v>150</v>
      </c>
    </row>
    <row r="21" spans="2:4" x14ac:dyDescent="0.35">
      <c r="B21" s="101" t="s">
        <v>158</v>
      </c>
      <c r="C21" s="66">
        <v>800000</v>
      </c>
      <c r="D21" s="68" t="s">
        <v>151</v>
      </c>
    </row>
    <row r="22" spans="2:4" x14ac:dyDescent="0.35">
      <c r="B22" s="67" t="s">
        <v>152</v>
      </c>
      <c r="C22" s="66">
        <v>500000</v>
      </c>
      <c r="D22" s="68" t="s">
        <v>170</v>
      </c>
    </row>
    <row r="23" spans="2:4" x14ac:dyDescent="0.35">
      <c r="B23" s="67" t="s">
        <v>153</v>
      </c>
      <c r="C23" s="66">
        <v>500000</v>
      </c>
      <c r="D23" s="68" t="s">
        <v>157</v>
      </c>
    </row>
    <row r="24" spans="2:4" x14ac:dyDescent="0.35">
      <c r="B24" s="67"/>
      <c r="C24" s="66"/>
      <c r="D24" s="68"/>
    </row>
    <row r="25" spans="2:4" ht="15" thickBot="1" x14ac:dyDescent="0.4">
      <c r="B25" s="74"/>
      <c r="C25" s="75"/>
      <c r="D25" s="76"/>
    </row>
    <row r="26" spans="2:4" ht="15" thickBot="1" x14ac:dyDescent="0.4">
      <c r="B26" s="71" t="s">
        <v>109</v>
      </c>
      <c r="C26" s="72">
        <f>SUM(C13:C25)</f>
        <v>6243000</v>
      </c>
      <c r="D26" s="77"/>
    </row>
    <row r="27" spans="2:4" ht="15" thickBot="1" x14ac:dyDescent="0.4">
      <c r="B27" s="81"/>
      <c r="C27" s="82"/>
      <c r="D27" s="80"/>
    </row>
    <row r="28" spans="2:4" ht="15" thickBot="1" x14ac:dyDescent="0.4">
      <c r="B28" s="71" t="s">
        <v>159</v>
      </c>
      <c r="C28" s="72">
        <f>+C26-C10</f>
        <v>5643000</v>
      </c>
      <c r="D28" s="73"/>
    </row>
    <row r="29" spans="2:4" x14ac:dyDescent="0.35">
      <c r="B29" t="s">
        <v>168</v>
      </c>
      <c r="C29">
        <v>5997730</v>
      </c>
      <c r="D29" t="s">
        <v>169</v>
      </c>
    </row>
    <row r="31" spans="2:4" x14ac:dyDescent="0.35">
      <c r="B31" s="4" t="s">
        <v>83</v>
      </c>
      <c r="C31" s="4">
        <f>+C29-C28</f>
        <v>354730</v>
      </c>
      <c r="D31" s="4"/>
    </row>
  </sheetData>
  <mergeCells count="3">
    <mergeCell ref="B5:D5"/>
    <mergeCell ref="B12:D12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PKG-2</vt:lpstr>
      <vt:lpstr>PKG-3</vt:lpstr>
      <vt:lpstr>PKG-5</vt:lpstr>
      <vt:lpstr>LT - A &amp; B</vt:lpstr>
      <vt:lpstr>VK J</vt:lpstr>
      <vt:lpstr>PD</vt:lpstr>
      <vt:lpstr>BK GM</vt:lpstr>
      <vt:lpstr>VK Singh</vt:lpstr>
      <vt:lpstr>Chetram Meena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2025-10-09T05:59:47Z</dcterms:modified>
</cp:coreProperties>
</file>